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משרד העבודה\שרון\אילת\אחי אילת\"/>
    </mc:Choice>
  </mc:AlternateContent>
  <bookViews>
    <workbookView xWindow="0" yWindow="0" windowWidth="24720" windowHeight="11685"/>
  </bookViews>
  <sheets>
    <sheet name="דוח" sheetId="2" r:id="rId1"/>
    <sheet name="שקלול הציון" sheetId="1" r:id="rId2"/>
    <sheet name="ליקויים מהמערכת" sheetId="3" state="hidden" r:id="rId3"/>
  </sheets>
  <definedNames>
    <definedName name="_xlnm.Print_Area" localSheetId="0">דוח!$A$1:$M$72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6" i="2" l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 l="1"/>
  <c r="G50" i="1" s="1"/>
  <c r="D50" i="2" l="1"/>
  <c r="B16" i="2" l="1"/>
  <c r="B17" i="2" s="1"/>
  <c r="B18" i="2" s="1"/>
  <c r="B19" i="2" s="1"/>
  <c r="B20" i="2" s="1"/>
  <c r="B21" i="2" s="1"/>
  <c r="G40" i="2" l="1"/>
  <c r="C21" i="2"/>
  <c r="C20" i="2"/>
  <c r="C19" i="2"/>
  <c r="C18" i="2"/>
  <c r="C17" i="2"/>
  <c r="C16" i="2"/>
  <c r="C15" i="2"/>
  <c r="H48" i="1" l="1"/>
  <c r="H47" i="1"/>
  <c r="H46" i="1"/>
  <c r="J45" i="1"/>
  <c r="H44" i="1"/>
  <c r="J43" i="1"/>
  <c r="H43" i="1"/>
  <c r="K43" i="1" s="1"/>
  <c r="M43" i="1" s="1"/>
  <c r="J42" i="1"/>
  <c r="H42" i="1"/>
  <c r="I42" i="1" s="1"/>
  <c r="H41" i="1"/>
  <c r="J40" i="1"/>
  <c r="J39" i="1"/>
  <c r="H38" i="1"/>
  <c r="H37" i="1"/>
  <c r="J36" i="1"/>
  <c r="J35" i="1"/>
  <c r="H34" i="1"/>
  <c r="J33" i="1"/>
  <c r="J32" i="1"/>
  <c r="H32" i="1"/>
  <c r="K32" i="1" s="1"/>
  <c r="M32" i="1" s="1"/>
  <c r="H31" i="1"/>
  <c r="H30" i="1"/>
  <c r="K27" i="1"/>
  <c r="M27" i="1" s="1"/>
  <c r="H28" i="1"/>
  <c r="H27" i="1"/>
  <c r="J26" i="1"/>
  <c r="H25" i="1"/>
  <c r="H24" i="1"/>
  <c r="J23" i="1"/>
  <c r="H23" i="1"/>
  <c r="K23" i="1" s="1"/>
  <c r="M23" i="1" s="1"/>
  <c r="H22" i="1"/>
  <c r="K21" i="1"/>
  <c r="M21" i="1" s="1"/>
  <c r="H21" i="1"/>
  <c r="H20" i="1"/>
  <c r="H19" i="1"/>
  <c r="H17" i="1"/>
  <c r="H16" i="1"/>
  <c r="H15" i="1"/>
  <c r="H14" i="1"/>
  <c r="J13" i="1"/>
  <c r="H12" i="1"/>
  <c r="J11" i="1"/>
  <c r="J10" i="1"/>
  <c r="H8" i="1"/>
  <c r="J7" i="1"/>
  <c r="H6" i="1"/>
  <c r="H5" i="1"/>
  <c r="K4" i="1"/>
  <c r="M4" i="1" s="1"/>
  <c r="H4" i="1"/>
  <c r="I43" i="1" l="1"/>
  <c r="I4" i="1"/>
  <c r="J5" i="1" s="1"/>
  <c r="J30" i="1"/>
  <c r="J38" i="1"/>
  <c r="J41" i="1"/>
  <c r="J25" i="1"/>
  <c r="J46" i="1"/>
  <c r="K46" i="1"/>
  <c r="M46" i="1" s="1"/>
  <c r="I46" i="1"/>
  <c r="H36" i="1"/>
  <c r="K36" i="1" s="1"/>
  <c r="M36" i="1" s="1"/>
  <c r="H11" i="1"/>
  <c r="J24" i="1"/>
  <c r="H29" i="1"/>
  <c r="I27" i="1" s="1"/>
  <c r="J31" i="1"/>
  <c r="H33" i="1"/>
  <c r="J34" i="1"/>
  <c r="I21" i="1"/>
  <c r="J21" i="1" s="1"/>
  <c r="J37" i="1"/>
  <c r="J47" i="1"/>
  <c r="I31" i="1"/>
  <c r="K31" i="1"/>
  <c r="M31" i="1" s="1"/>
  <c r="I34" i="1"/>
  <c r="K34" i="1"/>
  <c r="K37" i="1"/>
  <c r="M37" i="1" s="1"/>
  <c r="I37" i="1"/>
  <c r="K47" i="1"/>
  <c r="M47" i="1" s="1"/>
  <c r="I47" i="1"/>
  <c r="K24" i="1"/>
  <c r="M24" i="1" s="1"/>
  <c r="I24" i="1"/>
  <c r="K30" i="1"/>
  <c r="I30" i="1"/>
  <c r="J22" i="1"/>
  <c r="I38" i="1"/>
  <c r="K38" i="1"/>
  <c r="M38" i="1" s="1"/>
  <c r="K41" i="1"/>
  <c r="M41" i="1" s="1"/>
  <c r="I41" i="1"/>
  <c r="I44" i="1"/>
  <c r="K44" i="1"/>
  <c r="M44" i="1" s="1"/>
  <c r="I48" i="1"/>
  <c r="K48" i="1"/>
  <c r="M48" i="1" s="1"/>
  <c r="H40" i="1"/>
  <c r="K42" i="1"/>
  <c r="J44" i="1"/>
  <c r="J48" i="1"/>
  <c r="K6" i="1"/>
  <c r="M6" i="1" s="1"/>
  <c r="H7" i="1"/>
  <c r="I6" i="1" s="1"/>
  <c r="J6" i="1" s="1"/>
  <c r="I23" i="1"/>
  <c r="K25" i="1"/>
  <c r="M25" i="1" s="1"/>
  <c r="H26" i="1"/>
  <c r="I25" i="1" s="1"/>
  <c r="J29" i="1"/>
  <c r="I32" i="1"/>
  <c r="H35" i="1"/>
  <c r="H39" i="1"/>
  <c r="H45" i="1"/>
  <c r="H10" i="1"/>
  <c r="K12" i="1"/>
  <c r="H13" i="1"/>
  <c r="J14" i="1"/>
  <c r="H18" i="1"/>
  <c r="K10" i="1"/>
  <c r="M10" i="1" s="1"/>
  <c r="K8" i="1"/>
  <c r="M8" i="1" s="1"/>
  <c r="H9" i="1"/>
  <c r="I8" i="1" s="1"/>
  <c r="J8" i="1" l="1"/>
  <c r="J9" i="1"/>
  <c r="J4" i="1"/>
  <c r="I36" i="1"/>
  <c r="I10" i="1"/>
  <c r="J28" i="1"/>
  <c r="J27" i="1"/>
  <c r="L46" i="1"/>
  <c r="N47" i="1" s="1"/>
  <c r="L4" i="1"/>
  <c r="I12" i="1"/>
  <c r="K33" i="1"/>
  <c r="M33" i="1" s="1"/>
  <c r="I33" i="1"/>
  <c r="M42" i="1"/>
  <c r="I39" i="1"/>
  <c r="K39" i="1"/>
  <c r="M30" i="1"/>
  <c r="M34" i="1"/>
  <c r="I35" i="1"/>
  <c r="K35" i="1"/>
  <c r="M35" i="1" s="1"/>
  <c r="K40" i="1"/>
  <c r="M40" i="1" s="1"/>
  <c r="I40" i="1"/>
  <c r="M12" i="1"/>
  <c r="L12" i="1" s="1"/>
  <c r="I45" i="1"/>
  <c r="K45" i="1"/>
  <c r="M45" i="1" s="1"/>
  <c r="J20" i="1" l="1"/>
  <c r="J18" i="1"/>
  <c r="N8" i="1"/>
  <c r="J17" i="1"/>
  <c r="J12" i="1"/>
  <c r="L30" i="1"/>
  <c r="N31" i="1" s="1"/>
  <c r="N46" i="1"/>
  <c r="N48" i="1"/>
  <c r="N10" i="1"/>
  <c r="O46" i="1"/>
  <c r="P46" i="1" s="1"/>
  <c r="J19" i="1"/>
  <c r="N4" i="1"/>
  <c r="O4" i="1"/>
  <c r="P4" i="1" s="1"/>
  <c r="N6" i="1"/>
  <c r="J16" i="1"/>
  <c r="J15" i="1"/>
  <c r="N25" i="1"/>
  <c r="O12" i="1"/>
  <c r="P12" i="1" s="1"/>
  <c r="N23" i="1"/>
  <c r="N21" i="1"/>
  <c r="N27" i="1"/>
  <c r="N24" i="1"/>
  <c r="L42" i="1"/>
  <c r="L34" i="1"/>
  <c r="M39" i="1"/>
  <c r="L39" i="1" s="1"/>
  <c r="N30" i="1" l="1"/>
  <c r="N32" i="1"/>
  <c r="O30" i="1"/>
  <c r="P30" i="1" s="1"/>
  <c r="N33" i="1"/>
  <c r="N12" i="1"/>
  <c r="N39" i="1"/>
  <c r="N40" i="1"/>
  <c r="N41" i="1"/>
  <c r="O39" i="1"/>
  <c r="P39" i="1" s="1"/>
  <c r="N44" i="1"/>
  <c r="N42" i="1"/>
  <c r="N45" i="1"/>
  <c r="N43" i="1"/>
  <c r="O42" i="1"/>
  <c r="P42" i="1" s="1"/>
  <c r="N38" i="1"/>
  <c r="N35" i="1"/>
  <c r="N36" i="1"/>
  <c r="O34" i="1"/>
  <c r="P34" i="1" s="1"/>
  <c r="N37" i="1"/>
  <c r="N34" i="1"/>
  <c r="Q34" i="1" l="1"/>
  <c r="Q39" i="1"/>
  <c r="Q4" i="1"/>
  <c r="Q46" i="1"/>
  <c r="Q12" i="1"/>
  <c r="Q30" i="1"/>
  <c r="Q42" i="1"/>
  <c r="E21" i="2" l="1"/>
  <c r="Z21" i="2" s="1"/>
  <c r="Y21" i="2" s="1"/>
  <c r="E15" i="2"/>
  <c r="Z15" i="2" s="1"/>
  <c r="E19" i="2"/>
  <c r="Z19" i="2" s="1"/>
  <c r="E20" i="2"/>
  <c r="Z20" i="2" s="1"/>
  <c r="E17" i="2"/>
  <c r="Z17" i="2" s="1"/>
  <c r="E16" i="2"/>
  <c r="Z16" i="2" s="1"/>
  <c r="E18" i="2"/>
  <c r="Z18" i="2" s="1"/>
  <c r="Z22" i="2" l="1"/>
  <c r="Z23" i="2"/>
  <c r="E22" i="2"/>
  <c r="D26" i="2" s="1"/>
  <c r="D21" i="2"/>
  <c r="Z24" i="2" l="1"/>
  <c r="D16" i="2" s="1"/>
  <c r="D15" i="2"/>
  <c r="D20" i="2" l="1"/>
  <c r="D17" i="2"/>
  <c r="D19" i="2"/>
  <c r="D18" i="2"/>
  <c r="Y20" i="2"/>
  <c r="Y18" i="2"/>
  <c r="Y19" i="2"/>
  <c r="Y15" i="2"/>
  <c r="Y16" i="2"/>
  <c r="Y17" i="2"/>
  <c r="D22" i="2" l="1"/>
  <c r="Y22" i="2"/>
</calcChain>
</file>

<file path=xl/sharedStrings.xml><?xml version="1.0" encoding="utf-8"?>
<sst xmlns="http://schemas.openxmlformats.org/spreadsheetml/2006/main" count="194" uniqueCount="178">
  <si>
    <t>סכנת נפילת אדם</t>
  </si>
  <si>
    <t>סכנת התמוטטות</t>
  </si>
  <si>
    <t>נפילת חפצים ופסולת מגובה</t>
  </si>
  <si>
    <t>סיכוני שינוע</t>
  </si>
  <si>
    <t>שימוש בציוד מגן</t>
  </si>
  <si>
    <t>רמת ארגון אתר</t>
  </si>
  <si>
    <t>סיכוני עבודה חמה</t>
  </si>
  <si>
    <t>עבודה על גג/תקרה של בניין</t>
  </si>
  <si>
    <t>עבודה ללא רתמות בטיחות</t>
  </si>
  <si>
    <t>גידור רצפות מעברים/מרפסות/פיגומים למניעת נפילת אדם.</t>
  </si>
  <si>
    <t>פיגומים אינם קיימים</t>
  </si>
  <si>
    <t>פיגומים אינם מורכבים כראוי</t>
  </si>
  <si>
    <t xml:space="preserve">התקנת מערכת טפסות </t>
  </si>
  <si>
    <t>אחסון תבניות מתועשות ללא תמיכה</t>
  </si>
  <si>
    <t xml:space="preserve">הנחת אלמנטים טרומיים </t>
  </si>
  <si>
    <t xml:space="preserve">דפנות חפירה/קיר חצוב </t>
  </si>
  <si>
    <t>סיכוני עגורן צריח</t>
  </si>
  <si>
    <t>השלכה יזומה של חומרים וציוד מגובה</t>
  </si>
  <si>
    <t>השלכת פסולת בניה</t>
  </si>
  <si>
    <t>קיום ציוד וחומרים בשפת רצפות</t>
  </si>
  <si>
    <t xml:space="preserve">לוח רגל ברצפות פיגום </t>
  </si>
  <si>
    <t>אתתים</t>
  </si>
  <si>
    <t>שינוע מטענים</t>
  </si>
  <si>
    <t>הנפת שקי באלות (ביג-בגס)</t>
  </si>
  <si>
    <t>הנפת מטען בעגורן</t>
  </si>
  <si>
    <t>הנפת מטען בקרבה לקווי מתח</t>
  </si>
  <si>
    <t>קסדות מגן</t>
  </si>
  <si>
    <t>נעלי עבודה</t>
  </si>
  <si>
    <t>משקפי מגן</t>
  </si>
  <si>
    <t>קיום שלט באתר</t>
  </si>
  <si>
    <t>מכשולים על הקרקע</t>
  </si>
  <si>
    <t>קיום תא שירותים</t>
  </si>
  <si>
    <t>קיום גידור הקיפי</t>
  </si>
  <si>
    <t>ביצוע עבודות עם ביטומן</t>
  </si>
  <si>
    <t>קיום גידור (עבודה על גג/תקרה של בניין)</t>
  </si>
  <si>
    <t>תקינות הגידור – אזני יד/תיכון, זקפי גידור (עבודה על גג/תקרה של בניין)</t>
  </si>
  <si>
    <t>שימוש ברתמות בטיחות.</t>
  </si>
  <si>
    <t>קיום גידור (מעברים/מרפסות/ פיגומים)</t>
  </si>
  <si>
    <t>תקינות הגידור – אזני יד/תיכון, זקפי גידור (מעברים/מרפסות/פיגומים)</t>
  </si>
  <si>
    <t>עמידה על משטחי עבודה מאולתרים</t>
  </si>
  <si>
    <t>פיגום זיזי –  עיגון זיזים לקוי, אורך משטח עבודה בפינת הבניין לקוי, מפתח בין זיזים</t>
  </si>
  <si>
    <t>פיגום עצמאי – ביסוס, גובה הפיגום, מעצורים</t>
  </si>
  <si>
    <t>פיגום ממוכן – שלוחות מאובטחות, כבלי תלוי מתוחים, שיפוע הפיגום.</t>
  </si>
  <si>
    <t>משטח אחסנה מבוטן ומפולס, קיום תמיכות לתבניות</t>
  </si>
  <si>
    <t xml:space="preserve"> רתום/אבטחת משקולות בסיס</t>
  </si>
  <si>
    <t xml:space="preserve"> קיום מרחק בטיחות ממקום חימום ביטומן</t>
  </si>
  <si>
    <t>ציון</t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</si>
  <si>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אי קשירת חבל רתמה לנקודת עיגון בטוחה</t>
    </r>
    <r>
      <rPr>
        <sz val="11"/>
        <color theme="1"/>
        <rFont val="Arial"/>
        <family val="1"/>
      </rPr>
      <t>.</t>
    </r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</si>
  <si>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David"/>
        <family val="2"/>
      </rPr>
      <t>עמידת עובד ישירות על חלקי טפסות/ תבניות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</si>
  <si>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 xml:space="preserve">פיגום זקפים – </t>
    </r>
    <r>
      <rPr>
        <sz val="11"/>
        <color theme="1"/>
        <rFont val="Arial"/>
        <family val="1"/>
      </rPr>
      <t>חוסר /תקינות קשירות זקפים למבנה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</si>
  <si>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– תקינות רצפות/סולמות, עומס יתר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</si>
  <si>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חוסר באלכסונים, תקינות קשירות לזקפים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</si>
  <si>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חוסר בזקפים כפולים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</si>
  <si>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ביסוס לקוי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</si>
  <si>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 - עיגון זקף במקום  תליית זרוע גלגלת של כננת הרמה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</si>
  <si>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שימוש לקוי בתמיכות אלכסוניות למערכת טפסות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</si>
  <si>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שימוש לקוי בתמיכות אנכיות למערכת טפסות</t>
    </r>
  </si>
  <si>
    <r>
      <rPr>
        <sz val="7"/>
        <color theme="1"/>
        <rFont val="Times New Roman"/>
        <family val="1"/>
      </rPr>
      <t xml:space="preserve">   </t>
    </r>
    <r>
      <rPr>
        <sz val="11.5"/>
        <color theme="1"/>
        <rFont val="David"/>
        <family val="2"/>
      </rPr>
      <t xml:space="preserve">ביצוע דיפון/שיפוע מתאים </t>
    </r>
  </si>
  <si>
    <r>
      <rPr>
        <sz val="7"/>
        <color theme="1"/>
        <rFont val="Times New Roman"/>
        <family val="1"/>
      </rPr>
      <t xml:space="preserve">   </t>
    </r>
    <r>
      <rPr>
        <sz val="11.5"/>
        <color theme="1"/>
        <rFont val="David"/>
        <family val="2"/>
      </rPr>
      <t>התקנת רשת בקיר חצוב למניעת הדרדרות אבנים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</si>
  <si>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שלטי פרסום על זרועות/תורן העגורן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</si>
  <si>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שלטי ע.ע.ב  על גבי זרוע העגורן</t>
    </r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</si>
  <si>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David"/>
        <family val="2"/>
      </rPr>
      <t>השלכת חומרים וציוד מגובה</t>
    </r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</si>
  <si>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David"/>
        <family val="2"/>
      </rPr>
      <t>קיום מובל סגור (שוקת)  רציף ותקין, גידור מיקום השלכת פסולת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</si>
  <si>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הנחת ציוד, חומרי בניין ופסולת על גבי ספי רצפות/מרפסות/מעקות</t>
    </r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</si>
  <si>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David"/>
        <family val="2"/>
      </rPr>
      <t xml:space="preserve">זיהוי שימוש בשקים לשינוע </t>
    </r>
    <r>
      <rPr>
        <u/>
        <sz val="11.5"/>
        <color theme="1"/>
        <rFont val="David"/>
        <family val="2"/>
      </rPr>
      <t>פסולת בניה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</si>
  <si>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קיום שלט במקום נראה לעין הכולל את פרטי המבצע, מנ"ע ומהות הבניה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</si>
  <si>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פסולת בניה שפזורה בשטח האתר המהווה מכשולים</t>
    </r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</si>
  <si>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David"/>
        <family val="2"/>
      </rPr>
      <t>הצבת חבית ביטומן על משטח לא יציב</t>
    </r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</si>
  <si>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David"/>
        <family val="2"/>
      </rPr>
      <t>המצאות ציוד לכיבוי</t>
    </r>
  </si>
  <si>
    <t>קטגוריה</t>
  </si>
  <si>
    <t>ציון ליקוי</t>
  </si>
  <si>
    <t>ציון משוקלל ליקוי</t>
  </si>
  <si>
    <t>ציון משוקלל לקטגוריה</t>
  </si>
  <si>
    <t>ציון משוקללנושא</t>
  </si>
  <si>
    <t>ליקויים למפגע</t>
  </si>
  <si>
    <t>מפגעים</t>
  </si>
  <si>
    <t>משקל קטגוריה</t>
  </si>
  <si>
    <t>משקל מפגעים</t>
  </si>
  <si>
    <t>משקל ליקויים למפגע</t>
  </si>
  <si>
    <t>תאריך:</t>
  </si>
  <si>
    <t>שעה:</t>
  </si>
  <si>
    <t>סייר נוסף:</t>
  </si>
  <si>
    <t>שם הסייר:</t>
  </si>
  <si>
    <t>בניין:</t>
  </si>
  <si>
    <t>נ"צ X:</t>
  </si>
  <si>
    <t>נ"צ Y:</t>
  </si>
  <si>
    <t>שטח בנוי:</t>
  </si>
  <si>
    <t>שם מנהל העבודה באתר:</t>
  </si>
  <si>
    <t>רמת בטיחות:</t>
  </si>
  <si>
    <t>מס' עבודה:</t>
  </si>
  <si>
    <t>שם היזם:</t>
  </si>
  <si>
    <t>שם הקבלן:</t>
  </si>
  <si>
    <t>ח.פ יזם:</t>
  </si>
  <si>
    <t>ח.פ. קבלן:</t>
  </si>
  <si>
    <t>מס בניין</t>
  </si>
  <si>
    <t>שלב ביצוע</t>
  </si>
  <si>
    <t>מס' קומות בעת הביקור</t>
  </si>
  <si>
    <t>הערכת שטח בנוי</t>
  </si>
  <si>
    <t>שטח קומה טיפוסית</t>
  </si>
  <si>
    <t>כלים טעוני בדיקה</t>
  </si>
  <si>
    <t>תיאור</t>
  </si>
  <si>
    <t>כמות</t>
  </si>
  <si>
    <t>מיקום באתר</t>
  </si>
  <si>
    <t>עגורן צריח</t>
  </si>
  <si>
    <t>פיגום ממוכן</t>
  </si>
  <si>
    <t>מעלית בניה</t>
  </si>
  <si>
    <t>כננת הרמה</t>
  </si>
  <si>
    <t>במות הרמה</t>
  </si>
  <si>
    <t>משקל בסיור</t>
  </si>
  <si>
    <t>סה"כ</t>
  </si>
  <si>
    <t>נתוני בניינים בזמן הסיור</t>
  </si>
  <si>
    <t>תאור הביקור והתרשמות עורך הסקר</t>
  </si>
  <si>
    <t>ת.ז:</t>
  </si>
  <si>
    <t>הסקירה בוצעה ע"י אפליקציית JUST MANAGE</t>
  </si>
  <si>
    <t>להוציא צו הפסקת עבודה</t>
  </si>
  <si>
    <t>פעולות המשך לביצוע - משרד העבודה</t>
  </si>
  <si>
    <t>ליצור קשר עם מנהל העבוהד באתר</t>
  </si>
  <si>
    <t xml:space="preserve">לשלוח מכתב לקבלן </t>
  </si>
  <si>
    <t>לשלוח מפקח אחראי לסיור המשך</t>
  </si>
  <si>
    <t>לשלוח לאתר את דוח הממצאים</t>
  </si>
  <si>
    <t>לשלוח דוח כספי לאתר</t>
  </si>
  <si>
    <t>סה"כ כלים באתר</t>
  </si>
  <si>
    <t>פרטי הפרוקט והסיור</t>
  </si>
  <si>
    <t>ציון הפרויקט</t>
  </si>
  <si>
    <t>עיר:</t>
  </si>
  <si>
    <t>רחוב:</t>
  </si>
  <si>
    <t>מספר:</t>
  </si>
  <si>
    <t>גוש:</t>
  </si>
  <si>
    <t>חלקה:</t>
  </si>
  <si>
    <t>פרויקט</t>
  </si>
  <si>
    <t>RowIndex</t>
  </si>
  <si>
    <t>SpaceActivityId</t>
  </si>
  <si>
    <t>ActivityName</t>
  </si>
  <si>
    <t>StartDate</t>
  </si>
  <si>
    <t>EndDate</t>
  </si>
  <si>
    <t>Duration</t>
  </si>
  <si>
    <t>SpaceDescription</t>
  </si>
  <si>
    <t>ImplementationPercent</t>
  </si>
  <si>
    <t>Ancestors</t>
  </si>
  <si>
    <t>ליקוי ל: קיום גידור (מעברים/מרפסות/ פיגומים)</t>
  </si>
  <si>
    <t>ליקוי ל: גידור תקין, שער כניסה תקין</t>
  </si>
  <si>
    <t>ליקוי ל:   קיום שלט במקום נראה לעין הכולל את פרטי המבצע, מנ"ע ומהות הבניה</t>
  </si>
  <si>
    <t>ליקוי ל:   פסולת בניה שפזורה בשטח האתר המהווה מכשולים</t>
  </si>
  <si>
    <t>ליקוי ל: קיום לוח רגל ברצפות פיגום זקפים</t>
  </si>
  <si>
    <t>ליקוי ל: שימוש בקסדות מגן</t>
  </si>
  <si>
    <t>צורת הנפת מטענים בעינוב ואביזרי הרמה מתאימים/מאולתרים</t>
  </si>
  <si>
    <t>קיום לשונית אבטחה באונקל</t>
  </si>
  <si>
    <t>שמירת מרחק בטיחות מקווי חשמל עליים</t>
  </si>
  <si>
    <t>שימוש בקסדות מגן</t>
  </si>
  <si>
    <t>ליקוי ל: תקינות הגידור – אזני יד/תיכון, זקפי גידור (מעברים/מרפסות/פיגומים)</t>
  </si>
  <si>
    <t>זיהוי אתת המצויד במכשיר קשר/או באמצעות סימני ידיים מוסכמים</t>
  </si>
  <si>
    <t>קיום לוח רגל ברצפות פיגום זקפים</t>
  </si>
  <si>
    <t>הנחת אלמנטים טרומיים ללא קיבוע/תמיכה</t>
  </si>
  <si>
    <t>גידור תקין, שער כניסה תקין</t>
  </si>
  <si>
    <t>מבנה שירותים תקין (עם דלת)</t>
  </si>
  <si>
    <t>שרון מורדכי</t>
  </si>
  <si>
    <t>1/1</t>
  </si>
  <si>
    <t>מס' הזמנה:</t>
  </si>
  <si>
    <t>ליקוי ל:   פיגום זקפים – חוסר /תקינות קשירות זקפים למבנה</t>
  </si>
  <si>
    <t>ליקוי ל:   פיגום זקפים – תקינות רצפות/סולמות, עומס יתר</t>
  </si>
  <si>
    <t>ליקוי ל:   פיגום זקפים - חוסר באלכסונים, תקינות קשירות לזקפים</t>
  </si>
  <si>
    <t>שימוש במשקפי מגן</t>
  </si>
  <si>
    <t>שימוש בנעלי עבודה</t>
  </si>
  <si>
    <t>נתון חסר</t>
  </si>
  <si>
    <t>ליקוי ל:   הנחת ציוד, חומרי בניין ופסולת על גבי ספי רצפות/מרפסות/מעקות</t>
  </si>
  <si>
    <t>א.ציבורי סמוך :</t>
  </si>
  <si>
    <t>לא קיים</t>
  </si>
  <si>
    <t>אחי אילת ב 1-4</t>
  </si>
  <si>
    <t>סיכום סיור בפרויקט: אחי אילת 13, אילת</t>
  </si>
  <si>
    <t>ארי אוריאלי</t>
  </si>
  <si>
    <t>40130</t>
  </si>
  <si>
    <t>34.929785</t>
  </si>
  <si>
    <t>צביקה אדרי</t>
  </si>
  <si>
    <t>אילת</t>
  </si>
  <si>
    <t>אח"י אילת</t>
  </si>
  <si>
    <t>א.לוי השקעות</t>
  </si>
  <si>
    <t>גמר+ חיפוי</t>
  </si>
  <si>
    <t>מבנה מגורים בשלב הגמרים וחיפויים, רמת הבטיחות בו הינה נמוכה תוך מתן דגש בנושא סכנות נפילת אדם והתמוטטות.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</si>
</sst>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%"/>
    <numFmt numFmtId="165" formatCode="0.0000%"/>
    <numFmt numFmtId="166" formatCode="0.000000%"/>
  </numFmts>
  <fonts count="1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.5"/>
      <color theme="1"/>
      <name val="David"/>
      <family val="2"/>
    </font>
    <font>
      <sz val="11.5"/>
      <color theme="1"/>
      <name val="Calibri"/>
      <family val="2"/>
    </font>
    <font>
      <sz val="11"/>
      <color theme="1"/>
      <name val="Arial"/>
      <family val="1"/>
    </font>
    <font>
      <sz val="7"/>
      <color theme="1"/>
      <name val="Times New Roman"/>
      <family val="1"/>
    </font>
    <font>
      <u/>
      <sz val="11.5"/>
      <color theme="1"/>
      <name val="David"/>
      <family val="2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b/>
      <sz val="18"/>
      <color theme="1"/>
      <name val="Arial"/>
      <family val="2"/>
      <scheme val="minor"/>
    </font>
    <font>
      <b/>
      <sz val="14"/>
      <name val="Arial"/>
      <family val="2"/>
      <scheme val="minor"/>
    </font>
    <font>
      <sz val="11"/>
      <name val="Arial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Border="0"/>
  </cellStyleXfs>
  <cellXfs count="178">
    <xf numFmtId="0" fontId="0" fillId="0" borderId="0" xfId="0"/>
    <xf numFmtId="164" fontId="0" fillId="0" borderId="0" xfId="0" applyNumberFormat="1"/>
    <xf numFmtId="9" fontId="0" fillId="0" borderId="0" xfId="2" applyFont="1"/>
    <xf numFmtId="0" fontId="0" fillId="0" borderId="7" xfId="0" applyBorder="1"/>
    <xf numFmtId="0" fontId="2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horizontal="right" vertical="center" wrapText="1" readingOrder="2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9" xfId="0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9" fontId="2" fillId="0" borderId="14" xfId="2" applyFont="1" applyBorder="1" applyAlignment="1">
      <alignment horizontal="center" vertical="center" wrapText="1"/>
    </xf>
    <xf numFmtId="9" fontId="2" fillId="2" borderId="14" xfId="2" applyFont="1" applyFill="1" applyBorder="1" applyAlignment="1">
      <alignment horizontal="center" vertical="center" wrapText="1"/>
    </xf>
    <xf numFmtId="9" fontId="0" fillId="0" borderId="14" xfId="2" applyFont="1" applyBorder="1" applyAlignment="1">
      <alignment horizontal="center" vertical="center"/>
    </xf>
    <xf numFmtId="164" fontId="0" fillId="3" borderId="14" xfId="2" applyNumberFormat="1" applyFont="1" applyFill="1" applyBorder="1" applyAlignment="1">
      <alignment horizontal="center" vertical="center"/>
    </xf>
    <xf numFmtId="9" fontId="2" fillId="0" borderId="12" xfId="2" applyFont="1" applyBorder="1" applyAlignment="1">
      <alignment horizontal="center" vertical="center" wrapText="1"/>
    </xf>
    <xf numFmtId="9" fontId="2" fillId="2" borderId="12" xfId="2" applyFont="1" applyFill="1" applyBorder="1" applyAlignment="1">
      <alignment horizontal="center" vertical="center" wrapText="1"/>
    </xf>
    <xf numFmtId="9" fontId="0" fillId="0" borderId="12" xfId="2" applyFont="1" applyBorder="1" applyAlignment="1">
      <alignment horizontal="center" vertical="center"/>
    </xf>
    <xf numFmtId="164" fontId="0" fillId="3" borderId="12" xfId="2" applyNumberFormat="1" applyFont="1" applyFill="1" applyBorder="1" applyAlignment="1">
      <alignment horizontal="center" vertical="center"/>
    </xf>
    <xf numFmtId="9" fontId="4" fillId="0" borderId="12" xfId="2" applyFont="1" applyBorder="1" applyAlignment="1">
      <alignment horizontal="center" vertical="center" wrapText="1"/>
    </xf>
    <xf numFmtId="9" fontId="4" fillId="2" borderId="12" xfId="2" applyFont="1" applyFill="1" applyBorder="1" applyAlignment="1">
      <alignment horizontal="center" vertical="center" wrapText="1"/>
    </xf>
    <xf numFmtId="9" fontId="2" fillId="0" borderId="19" xfId="2" applyFont="1" applyBorder="1" applyAlignment="1">
      <alignment horizontal="center" vertical="center" wrapText="1"/>
    </xf>
    <xf numFmtId="9" fontId="2" fillId="2" borderId="19" xfId="2" applyFont="1" applyFill="1" applyBorder="1" applyAlignment="1">
      <alignment horizontal="center" vertical="center" wrapText="1"/>
    </xf>
    <xf numFmtId="9" fontId="0" fillId="0" borderId="19" xfId="2" applyFont="1" applyBorder="1" applyAlignment="1">
      <alignment horizontal="center" vertical="center"/>
    </xf>
    <xf numFmtId="164" fontId="0" fillId="3" borderId="19" xfId="2" applyNumberFormat="1" applyFont="1" applyFill="1" applyBorder="1" applyAlignment="1">
      <alignment horizontal="center" vertical="center"/>
    </xf>
    <xf numFmtId="9" fontId="0" fillId="3" borderId="14" xfId="2" applyFont="1" applyFill="1" applyBorder="1" applyAlignment="1">
      <alignment horizontal="center" vertical="center"/>
    </xf>
    <xf numFmtId="9" fontId="0" fillId="3" borderId="12" xfId="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4" fillId="2" borderId="19" xfId="2" applyFont="1" applyFill="1" applyBorder="1" applyAlignment="1">
      <alignment horizontal="center" vertical="center" wrapText="1"/>
    </xf>
    <xf numFmtId="9" fontId="0" fillId="3" borderId="19" xfId="2" applyFont="1" applyFill="1" applyBorder="1" applyAlignment="1">
      <alignment horizontal="center" vertical="center"/>
    </xf>
    <xf numFmtId="9" fontId="4" fillId="0" borderId="14" xfId="2" applyFont="1" applyBorder="1" applyAlignment="1">
      <alignment horizontal="center" vertical="center" wrapText="1"/>
    </xf>
    <xf numFmtId="9" fontId="4" fillId="2" borderId="14" xfId="2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9" fontId="4" fillId="0" borderId="19" xfId="2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9" fontId="0" fillId="0" borderId="19" xfId="2" applyFont="1" applyBorder="1" applyAlignment="1">
      <alignment horizontal="center" vertical="center" wrapText="1"/>
    </xf>
    <xf numFmtId="9" fontId="0" fillId="2" borderId="19" xfId="2" applyFont="1" applyFill="1" applyBorder="1" applyAlignment="1">
      <alignment horizontal="center" vertical="center" wrapText="1"/>
    </xf>
    <xf numFmtId="9" fontId="0" fillId="3" borderId="12" xfId="2" applyNumberFormat="1" applyFont="1" applyFill="1" applyBorder="1" applyAlignment="1">
      <alignment horizontal="center" vertical="center"/>
    </xf>
    <xf numFmtId="9" fontId="0" fillId="3" borderId="19" xfId="2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14" fontId="0" fillId="0" borderId="0" xfId="0" applyNumberFormat="1"/>
    <xf numFmtId="20" fontId="0" fillId="0" borderId="0" xfId="0" applyNumberFormat="1"/>
    <xf numFmtId="49" fontId="0" fillId="0" borderId="0" xfId="0" applyNumberFormat="1" applyAlignment="1">
      <alignment horizontal="right"/>
    </xf>
    <xf numFmtId="9" fontId="2" fillId="0" borderId="12" xfId="2" applyFont="1" applyBorder="1" applyAlignment="1">
      <alignment horizontal="center" vertical="center" readingOrder="2"/>
    </xf>
    <xf numFmtId="9" fontId="2" fillId="0" borderId="14" xfId="2" applyFont="1" applyBorder="1" applyAlignment="1">
      <alignment horizontal="center"/>
    </xf>
    <xf numFmtId="9" fontId="2" fillId="0" borderId="12" xfId="2" applyFont="1" applyBorder="1" applyAlignment="1">
      <alignment horizontal="center"/>
    </xf>
    <xf numFmtId="9" fontId="2" fillId="0" borderId="19" xfId="2" applyFont="1" applyBorder="1" applyAlignment="1">
      <alignment horizontal="center"/>
    </xf>
    <xf numFmtId="9" fontId="0" fillId="0" borderId="14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166" fontId="0" fillId="0" borderId="0" xfId="2" applyNumberFormat="1" applyFont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25" xfId="2" applyNumberFormat="1" applyFont="1" applyBorder="1"/>
    <xf numFmtId="164" fontId="0" fillId="0" borderId="26" xfId="0" applyNumberFormat="1" applyBorder="1"/>
    <xf numFmtId="0" fontId="0" fillId="0" borderId="27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0" xfId="0" applyBorder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0" fillId="4" borderId="21" xfId="0" applyFill="1" applyBorder="1" applyAlignment="1">
      <alignment wrapText="1"/>
    </xf>
    <xf numFmtId="0" fontId="0" fillId="4" borderId="22" xfId="0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0" fillId="4" borderId="21" xfId="0" applyFill="1" applyBorder="1"/>
    <xf numFmtId="0" fontId="0" fillId="4" borderId="23" xfId="0" applyFill="1" applyBorder="1"/>
    <xf numFmtId="0" fontId="8" fillId="0" borderId="0" xfId="0" applyFont="1" applyAlignment="1"/>
    <xf numFmtId="9" fontId="0" fillId="0" borderId="1" xfId="2" applyFont="1" applyBorder="1"/>
    <xf numFmtId="165" fontId="0" fillId="0" borderId="2" xfId="0" applyNumberFormat="1" applyBorder="1"/>
    <xf numFmtId="2" fontId="0" fillId="0" borderId="3" xfId="0" applyNumberFormat="1" applyBorder="1"/>
    <xf numFmtId="9" fontId="0" fillId="0" borderId="7" xfId="2" applyFont="1" applyBorder="1"/>
    <xf numFmtId="165" fontId="0" fillId="0" borderId="0" xfId="0" applyNumberFormat="1" applyBorder="1"/>
    <xf numFmtId="2" fontId="0" fillId="0" borderId="8" xfId="0" applyNumberFormat="1" applyBorder="1"/>
    <xf numFmtId="164" fontId="0" fillId="0" borderId="8" xfId="0" applyNumberFormat="1" applyBorder="1"/>
    <xf numFmtId="1" fontId="10" fillId="0" borderId="38" xfId="0" applyNumberFormat="1" applyFont="1" applyBorder="1"/>
    <xf numFmtId="164" fontId="0" fillId="0" borderId="25" xfId="0" applyNumberFormat="1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4" borderId="0" xfId="0" applyFill="1"/>
    <xf numFmtId="0" fontId="8" fillId="4" borderId="0" xfId="0" applyFont="1" applyFill="1" applyAlignment="1"/>
    <xf numFmtId="0" fontId="8" fillId="4" borderId="0" xfId="0" applyFont="1" applyFill="1"/>
    <xf numFmtId="0" fontId="0" fillId="4" borderId="27" xfId="0" applyFill="1" applyBorder="1"/>
    <xf numFmtId="9" fontId="0" fillId="4" borderId="28" xfId="2" applyFont="1" applyFill="1" applyBorder="1"/>
    <xf numFmtId="164" fontId="0" fillId="4" borderId="29" xfId="0" applyNumberFormat="1" applyFill="1" applyBorder="1"/>
    <xf numFmtId="0" fontId="7" fillId="4" borderId="39" xfId="0" applyFont="1" applyFill="1" applyBorder="1"/>
    <xf numFmtId="0" fontId="7" fillId="4" borderId="29" xfId="0" applyFont="1" applyFill="1" applyBorder="1"/>
    <xf numFmtId="0" fontId="7" fillId="4" borderId="39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41" xfId="0" applyFill="1" applyBorder="1"/>
    <xf numFmtId="0" fontId="13" fillId="0" borderId="41" xfId="0" applyFont="1" applyFill="1" applyBorder="1" applyAlignment="1"/>
    <xf numFmtId="0" fontId="14" fillId="0" borderId="41" xfId="0" applyFont="1" applyFill="1" applyBorder="1" applyAlignment="1">
      <alignment vertical="center"/>
    </xf>
    <xf numFmtId="0" fontId="0" fillId="4" borderId="0" xfId="0" applyFill="1" applyBorder="1"/>
    <xf numFmtId="49" fontId="8" fillId="0" borderId="30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0" fillId="0" borderId="32" xfId="0" applyBorder="1"/>
    <xf numFmtId="49" fontId="12" fillId="0" borderId="33" xfId="0" applyNumberFormat="1" applyFont="1" applyBorder="1" applyAlignment="1">
      <alignment horizontal="left" vertical="center"/>
    </xf>
    <xf numFmtId="0" fontId="0" fillId="0" borderId="34" xfId="0" applyBorder="1"/>
    <xf numFmtId="49" fontId="8" fillId="0" borderId="33" xfId="0" applyNumberFormat="1" applyFont="1" applyBorder="1" applyAlignment="1">
      <alignment vertic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5" fillId="0" borderId="0" xfId="3" applyNumberFormat="1" applyFill="1" applyAlignment="1" applyProtection="1"/>
    <xf numFmtId="14" fontId="15" fillId="0" borderId="0" xfId="3" applyNumberFormat="1" applyFill="1" applyAlignment="1" applyProtection="1"/>
    <xf numFmtId="0" fontId="15" fillId="0" borderId="0" xfId="3" applyNumberFormat="1" applyFill="1" applyAlignment="1" applyProtection="1"/>
    <xf numFmtId="14" fontId="15" fillId="0" borderId="0" xfId="3" applyNumberFormat="1" applyFill="1" applyAlignment="1" applyProtection="1"/>
    <xf numFmtId="0" fontId="15" fillId="5" borderId="0" xfId="3" applyNumberFormat="1" applyFill="1" applyAlignment="1" applyProtection="1"/>
    <xf numFmtId="0" fontId="7" fillId="0" borderId="0" xfId="0" applyFont="1" applyAlignment="1">
      <alignment horizontal="left"/>
    </xf>
    <xf numFmtId="0" fontId="0" fillId="0" borderId="0" xfId="0" applyNumberFormat="1" applyFill="1" applyAlignment="1" applyProtection="1"/>
    <xf numFmtId="14" fontId="0" fillId="0" borderId="0" xfId="0" applyNumberFormat="1" applyFill="1" applyAlignment="1" applyProtection="1"/>
    <xf numFmtId="0" fontId="0" fillId="0" borderId="0" xfId="0" applyAlignment="1">
      <alignment horizontal="right"/>
    </xf>
    <xf numFmtId="0" fontId="0" fillId="0" borderId="42" xfId="0" applyNumberFormat="1" applyFont="1" applyBorder="1" applyAlignment="1"/>
    <xf numFmtId="0" fontId="16" fillId="0" borderId="0" xfId="0" applyFont="1" applyAlignment="1">
      <alignment horizontal="right"/>
    </xf>
    <xf numFmtId="0" fontId="0" fillId="0" borderId="30" xfId="0" applyBorder="1" applyAlignment="1">
      <alignment horizontal="right" vertical="top"/>
    </xf>
    <xf numFmtId="0" fontId="0" fillId="0" borderId="31" xfId="0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35" xfId="0" applyBorder="1" applyAlignment="1">
      <alignment horizontal="right" vertical="top"/>
    </xf>
    <xf numFmtId="0" fontId="0" fillId="0" borderId="36" xfId="0" applyBorder="1" applyAlignment="1">
      <alignment horizontal="right" vertical="top"/>
    </xf>
    <xf numFmtId="0" fontId="0" fillId="0" borderId="37" xfId="0" applyBorder="1" applyAlignment="1">
      <alignment horizontal="right" vertical="top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9" fontId="0" fillId="0" borderId="14" xfId="2" applyFont="1" applyBorder="1" applyAlignment="1">
      <alignment horizontal="center" vertical="center"/>
    </xf>
    <xf numFmtId="9" fontId="0" fillId="0" borderId="12" xfId="2" applyFont="1" applyBorder="1" applyAlignment="1">
      <alignment horizontal="center" vertical="center"/>
    </xf>
    <xf numFmtId="9" fontId="0" fillId="0" borderId="19" xfId="2" applyFont="1" applyBorder="1" applyAlignment="1">
      <alignment horizontal="center" vertical="center"/>
    </xf>
    <xf numFmtId="164" fontId="0" fillId="3" borderId="15" xfId="2" applyNumberFormat="1" applyFont="1" applyFill="1" applyBorder="1" applyAlignment="1">
      <alignment horizontal="center" vertical="center"/>
    </xf>
    <xf numFmtId="164" fontId="0" fillId="3" borderId="17" xfId="2" applyNumberFormat="1" applyFont="1" applyFill="1" applyBorder="1" applyAlignment="1">
      <alignment horizontal="center" vertical="center"/>
    </xf>
    <xf numFmtId="164" fontId="0" fillId="3" borderId="20" xfId="2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9" fontId="0" fillId="0" borderId="14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9" fontId="0" fillId="3" borderId="12" xfId="2" applyFont="1" applyFill="1" applyBorder="1" applyAlignment="1">
      <alignment horizontal="center" vertical="center"/>
    </xf>
    <xf numFmtId="9" fontId="0" fillId="3" borderId="19" xfId="2" applyFont="1" applyFill="1" applyBorder="1" applyAlignment="1">
      <alignment horizontal="center" vertical="center"/>
    </xf>
    <xf numFmtId="9" fontId="0" fillId="3" borderId="14" xfId="2" applyFont="1" applyFill="1" applyBorder="1" applyAlignment="1">
      <alignment horizontal="center" vertical="center"/>
    </xf>
    <xf numFmtId="1" fontId="0" fillId="0" borderId="14" xfId="1" applyNumberFormat="1" applyFont="1" applyBorder="1" applyAlignment="1">
      <alignment horizontal="center" vertical="center"/>
    </xf>
    <xf numFmtId="1" fontId="0" fillId="0" borderId="12" xfId="1" applyNumberFormat="1" applyFont="1" applyBorder="1" applyAlignment="1">
      <alignment horizontal="center" vertical="center"/>
    </xf>
    <xf numFmtId="1" fontId="0" fillId="0" borderId="19" xfId="1" applyNumberFormat="1" applyFont="1" applyBorder="1" applyAlignment="1">
      <alignment horizontal="center" vertical="center"/>
    </xf>
    <xf numFmtId="9" fontId="2" fillId="0" borderId="12" xfId="2" applyFont="1" applyBorder="1" applyAlignment="1">
      <alignment horizontal="center"/>
    </xf>
    <xf numFmtId="9" fontId="2" fillId="0" borderId="19" xfId="2" applyFont="1" applyBorder="1" applyAlignment="1">
      <alignment horizont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9" fontId="2" fillId="0" borderId="14" xfId="2" applyFont="1" applyBorder="1" applyAlignment="1">
      <alignment horizontal="center"/>
    </xf>
    <xf numFmtId="0" fontId="2" fillId="0" borderId="12" xfId="0" applyFont="1" applyBorder="1" applyAlignment="1">
      <alignment horizontal="right" vertical="center" wrapText="1" readingOrder="2"/>
    </xf>
    <xf numFmtId="0" fontId="3" fillId="0" borderId="12" xfId="0" applyFont="1" applyBorder="1" applyAlignment="1">
      <alignment horizontal="right" vertical="center" wrapText="1" readingOrder="2"/>
    </xf>
    <xf numFmtId="9" fontId="2" fillId="0" borderId="12" xfId="2" applyFont="1" applyBorder="1" applyAlignment="1">
      <alignment horizontal="center" vertical="center" readingOrder="2"/>
    </xf>
    <xf numFmtId="9" fontId="3" fillId="0" borderId="12" xfId="2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right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2D3647"/>
      <color rgb="FF5B5E7F"/>
      <color rgb="FF3C506F"/>
      <color rgb="FF3C505A"/>
      <color rgb="FF3B4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17600335310754"/>
          <c:y val="0.10330909399653163"/>
          <c:w val="0.79130587113434803"/>
          <c:h val="0.56882434556078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דוח!$D$14</c:f>
              <c:strCache>
                <c:ptCount val="1"/>
                <c:pt idx="0">
                  <c:v>משקל בסיור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cmpd="sng">
              <a:solidFill>
                <a:schemeClr val="accent6">
                  <a:lumMod val="75000"/>
                  <a:alpha val="95000"/>
                </a:schemeClr>
              </a:solidFill>
            </a:ln>
            <a:effectLst>
              <a:glow rad="38100">
                <a:schemeClr val="accent6">
                  <a:satMod val="175000"/>
                  <a:alpha val="40000"/>
                </a:schemeClr>
              </a:glow>
              <a:outerShdw blurRad="127000" dist="38100" dir="18900000" algn="bl" rotWithShape="0">
                <a:schemeClr val="tx1"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cat>
            <c:strRef>
              <c:f>דוח!$C$15:$C$21</c:f>
              <c:strCache>
                <c:ptCount val="7"/>
                <c:pt idx="0">
                  <c:v>סכנת נפילת אדם</c:v>
                </c:pt>
                <c:pt idx="1">
                  <c:v>סכנת התמוטטות</c:v>
                </c:pt>
                <c:pt idx="2">
                  <c:v>נפילת חפצים ופסולת מגובה</c:v>
                </c:pt>
                <c:pt idx="3">
                  <c:v>סיכוני שינוע</c:v>
                </c:pt>
                <c:pt idx="4">
                  <c:v>שימוש בציוד מגן</c:v>
                </c:pt>
                <c:pt idx="5">
                  <c:v>רמת ארגון אתר</c:v>
                </c:pt>
                <c:pt idx="6">
                  <c:v>סיכוני עבודה חמה</c:v>
                </c:pt>
              </c:strCache>
            </c:strRef>
          </c:cat>
          <c:val>
            <c:numRef>
              <c:f>דוח!$D$15:$D$21</c:f>
              <c:numCache>
                <c:formatCode>0.0%</c:formatCode>
                <c:ptCount val="7"/>
                <c:pt idx="0">
                  <c:v>0.37</c:v>
                </c:pt>
                <c:pt idx="1">
                  <c:v>0.39999999999999997</c:v>
                </c:pt>
                <c:pt idx="2">
                  <c:v>0.12</c:v>
                </c:pt>
                <c:pt idx="3">
                  <c:v>0</c:v>
                </c:pt>
                <c:pt idx="4">
                  <c:v>0</c:v>
                </c:pt>
                <c:pt idx="5">
                  <c:v>0.11000000000000001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7B-415D-B67C-60672F7BA380}"/>
            </c:ext>
          </c:extLst>
        </c:ser>
        <c:ser>
          <c:idx val="1"/>
          <c:order val="1"/>
          <c:tx>
            <c:strRef>
              <c:f>דוח!$E$14</c:f>
              <c:strCache>
                <c:ptCount val="1"/>
                <c:pt idx="0">
                  <c:v>ציון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>
              <a:glow rad="38100">
                <a:schemeClr val="accent5">
                  <a:lumMod val="40000"/>
                  <a:lumOff val="60000"/>
                  <a:alpha val="40000"/>
                </a:schemeClr>
              </a:glow>
              <a:outerShdw blurRad="127000" dist="38100" dir="135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softEdge"/>
          </c:spPr>
          <c:invertIfNegative val="0"/>
          <c:cat>
            <c:strRef>
              <c:f>דוח!$C$15:$C$21</c:f>
              <c:strCache>
                <c:ptCount val="7"/>
                <c:pt idx="0">
                  <c:v>סכנת נפילת אדם</c:v>
                </c:pt>
                <c:pt idx="1">
                  <c:v>סכנת התמוטטות</c:v>
                </c:pt>
                <c:pt idx="2">
                  <c:v>נפילת חפצים ופסולת מגובה</c:v>
                </c:pt>
                <c:pt idx="3">
                  <c:v>סיכוני שינוע</c:v>
                </c:pt>
                <c:pt idx="4">
                  <c:v>שימוש בציוד מגן</c:v>
                </c:pt>
                <c:pt idx="5">
                  <c:v>רמת ארגון אתר</c:v>
                </c:pt>
                <c:pt idx="6">
                  <c:v>סיכוני עבודה חמה</c:v>
                </c:pt>
              </c:strCache>
            </c:strRef>
          </c:cat>
          <c:val>
            <c:numRef>
              <c:f>דוח!$E$15:$E$21</c:f>
              <c:numCache>
                <c:formatCode>0.0%</c:formatCode>
                <c:ptCount val="7"/>
                <c:pt idx="0">
                  <c:v>0.11440000000000002</c:v>
                </c:pt>
                <c:pt idx="1">
                  <c:v>0.19968181818181818</c:v>
                </c:pt>
                <c:pt idx="2">
                  <c:v>5.1000000000000004E-2</c:v>
                </c:pt>
                <c:pt idx="3">
                  <c:v>0</c:v>
                </c:pt>
                <c:pt idx="4">
                  <c:v>0</c:v>
                </c:pt>
                <c:pt idx="5">
                  <c:v>1.5333333333333334E-2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7B-415D-B67C-60672F7BA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47"/>
        <c:axId val="686819672"/>
        <c:axId val="686820064"/>
      </c:barChart>
      <c:catAx>
        <c:axId val="68681967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686820064"/>
        <c:crosses val="autoZero"/>
        <c:auto val="1"/>
        <c:lblAlgn val="ctr"/>
        <c:lblOffset val="100"/>
        <c:noMultiLvlLbl val="0"/>
      </c:catAx>
      <c:valAx>
        <c:axId val="6868200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686819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5414261306927073E-2"/>
          <c:y val="0.28773107910721013"/>
          <c:w val="0.10850749897743975"/>
          <c:h val="0.3341418761277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216836</xdr:colOff>
      <xdr:row>13</xdr:row>
      <xdr:rowOff>2242</xdr:rowOff>
    </xdr:from>
    <xdr:to>
      <xdr:col>12</xdr:col>
      <xdr:colOff>79003</xdr:colOff>
      <xdr:row>27</xdr:row>
      <xdr:rowOff>190501</xdr:rowOff>
    </xdr:to>
    <xdr:graphicFrame macro="">
      <xdr:nvGraphicFramePr>
        <xdr:cNvPr id="3" name="תרשים 2">
          <a:extLst>
            <a:ext uri="{FF2B5EF4-FFF2-40B4-BE49-F238E27FC236}">
              <a16:creationId xmlns="" xmlns:a16="http://schemas.microsoft.com/office/drawing/2014/main" id="{FB27E510-65B7-4DD0-BCC4-AC8A6611CD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647700</xdr:colOff>
      <xdr:row>63</xdr:row>
      <xdr:rowOff>85725</xdr:rowOff>
    </xdr:from>
    <xdr:to>
      <xdr:col>6</xdr:col>
      <xdr:colOff>809625</xdr:colOff>
      <xdr:row>63</xdr:row>
      <xdr:rowOff>247650</xdr:rowOff>
    </xdr:to>
    <xdr:sp macro="" textlink="">
      <xdr:nvSpPr>
        <xdr:cNvPr id="4" name="מלבן 3">
          <a:extLst>
            <a:ext uri="{FF2B5EF4-FFF2-40B4-BE49-F238E27FC236}">
              <a16:creationId xmlns="" xmlns:a16="http://schemas.microsoft.com/office/drawing/2014/main" id="{AC84D091-4889-4249-B08B-34F5A9C92327}"/>
            </a:ext>
          </a:extLst>
        </xdr:cNvPr>
        <xdr:cNvSpPr/>
      </xdr:nvSpPr>
      <xdr:spPr>
        <a:xfrm>
          <a:off x="9985543275" y="118014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6</xdr:col>
      <xdr:colOff>647700</xdr:colOff>
      <xdr:row>64</xdr:row>
      <xdr:rowOff>76200</xdr:rowOff>
    </xdr:from>
    <xdr:to>
      <xdr:col>6</xdr:col>
      <xdr:colOff>809625</xdr:colOff>
      <xdr:row>64</xdr:row>
      <xdr:rowOff>238125</xdr:rowOff>
    </xdr:to>
    <xdr:sp macro="" textlink="">
      <xdr:nvSpPr>
        <xdr:cNvPr id="5" name="מלבן 4">
          <a:extLst>
            <a:ext uri="{FF2B5EF4-FFF2-40B4-BE49-F238E27FC236}">
              <a16:creationId xmlns="" xmlns:a16="http://schemas.microsoft.com/office/drawing/2014/main" id="{D3DC29A5-C6F8-4D3C-976B-6673302BF9DE}"/>
            </a:ext>
          </a:extLst>
        </xdr:cNvPr>
        <xdr:cNvSpPr/>
      </xdr:nvSpPr>
      <xdr:spPr>
        <a:xfrm>
          <a:off x="9985543275" y="120681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6</xdr:col>
      <xdr:colOff>647700</xdr:colOff>
      <xdr:row>65</xdr:row>
      <xdr:rowOff>66675</xdr:rowOff>
    </xdr:from>
    <xdr:to>
      <xdr:col>6</xdr:col>
      <xdr:colOff>809625</xdr:colOff>
      <xdr:row>65</xdr:row>
      <xdr:rowOff>228600</xdr:rowOff>
    </xdr:to>
    <xdr:sp macro="" textlink="">
      <xdr:nvSpPr>
        <xdr:cNvPr id="6" name="מלבן 5">
          <a:extLst>
            <a:ext uri="{FF2B5EF4-FFF2-40B4-BE49-F238E27FC236}">
              <a16:creationId xmlns="" xmlns:a16="http://schemas.microsoft.com/office/drawing/2014/main" id="{A473DC35-C829-4EC9-99E3-286E61C45CB0}"/>
            </a:ext>
          </a:extLst>
        </xdr:cNvPr>
        <xdr:cNvSpPr/>
      </xdr:nvSpPr>
      <xdr:spPr>
        <a:xfrm>
          <a:off x="9985543275" y="123348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28575</xdr:colOff>
      <xdr:row>65</xdr:row>
      <xdr:rowOff>66675</xdr:rowOff>
    </xdr:from>
    <xdr:to>
      <xdr:col>1</xdr:col>
      <xdr:colOff>190500</xdr:colOff>
      <xdr:row>65</xdr:row>
      <xdr:rowOff>228600</xdr:rowOff>
    </xdr:to>
    <xdr:sp macro="" textlink="">
      <xdr:nvSpPr>
        <xdr:cNvPr id="7" name="מלבן 6">
          <a:extLst>
            <a:ext uri="{FF2B5EF4-FFF2-40B4-BE49-F238E27FC236}">
              <a16:creationId xmlns="" xmlns:a16="http://schemas.microsoft.com/office/drawing/2014/main" id="{64BF277E-67E6-4757-8C8C-820C6DA6F724}"/>
            </a:ext>
          </a:extLst>
        </xdr:cNvPr>
        <xdr:cNvSpPr/>
      </xdr:nvSpPr>
      <xdr:spPr>
        <a:xfrm>
          <a:off x="9990077175" y="123348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28575</xdr:colOff>
      <xdr:row>64</xdr:row>
      <xdr:rowOff>66675</xdr:rowOff>
    </xdr:from>
    <xdr:to>
      <xdr:col>1</xdr:col>
      <xdr:colOff>190500</xdr:colOff>
      <xdr:row>64</xdr:row>
      <xdr:rowOff>228600</xdr:rowOff>
    </xdr:to>
    <xdr:sp macro="" textlink="">
      <xdr:nvSpPr>
        <xdr:cNvPr id="8" name="מלבן 7">
          <a:extLst>
            <a:ext uri="{FF2B5EF4-FFF2-40B4-BE49-F238E27FC236}">
              <a16:creationId xmlns="" xmlns:a16="http://schemas.microsoft.com/office/drawing/2014/main" id="{B8508F5C-2C80-4CB0-89B4-EA19F208D0A8}"/>
            </a:ext>
          </a:extLst>
        </xdr:cNvPr>
        <xdr:cNvSpPr/>
      </xdr:nvSpPr>
      <xdr:spPr>
        <a:xfrm>
          <a:off x="9990077175" y="12058650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28575</xdr:colOff>
      <xdr:row>63</xdr:row>
      <xdr:rowOff>66675</xdr:rowOff>
    </xdr:from>
    <xdr:to>
      <xdr:col>1</xdr:col>
      <xdr:colOff>190500</xdr:colOff>
      <xdr:row>63</xdr:row>
      <xdr:rowOff>228600</xdr:rowOff>
    </xdr:to>
    <xdr:sp macro="" textlink="">
      <xdr:nvSpPr>
        <xdr:cNvPr id="9" name="מלבן 8">
          <a:extLst>
            <a:ext uri="{FF2B5EF4-FFF2-40B4-BE49-F238E27FC236}">
              <a16:creationId xmlns="" xmlns:a16="http://schemas.microsoft.com/office/drawing/2014/main" id="{25421B56-05DC-4880-88F0-186C56B68345}"/>
            </a:ext>
          </a:extLst>
        </xdr:cNvPr>
        <xdr:cNvSpPr/>
      </xdr:nvSpPr>
      <xdr:spPr>
        <a:xfrm>
          <a:off x="9990077175" y="1178242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oneCell">
    <xdr:from>
      <xdr:col>7</xdr:col>
      <xdr:colOff>825313</xdr:colOff>
      <xdr:row>0</xdr:row>
      <xdr:rowOff>29134</xdr:rowOff>
    </xdr:from>
    <xdr:to>
      <xdr:col>11</xdr:col>
      <xdr:colOff>49772</xdr:colOff>
      <xdr:row>3</xdr:row>
      <xdr:rowOff>141335</xdr:rowOff>
    </xdr:to>
    <xdr:pic>
      <xdr:nvPicPr>
        <xdr:cNvPr id="11" name="תמונה 10">
          <a:extLst>
            <a:ext uri="{FF2B5EF4-FFF2-40B4-BE49-F238E27FC236}">
              <a16:creationId xmlns="" xmlns:a16="http://schemas.microsoft.com/office/drawing/2014/main" id="{B55D23E5-4B78-457A-9BA2-A0B29E4A9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2991201" y="29134"/>
          <a:ext cx="2798575" cy="69490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I12" totalsRowShown="0">
  <autoFilter ref="A1:I12"/>
  <tableColumns count="9">
    <tableColumn id="1" name="RowIndex"/>
    <tableColumn id="2" name="SpaceActivityId"/>
    <tableColumn id="3" name="ActivityName"/>
    <tableColumn id="4" name="StartDate"/>
    <tableColumn id="5" name="EndDate"/>
    <tableColumn id="6" name="Duration"/>
    <tableColumn id="7" name="SpaceDescription"/>
    <tableColumn id="8" name="ImplementationPercent"/>
    <tableColumn id="9" name="Ancestor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72"/>
  <sheetViews>
    <sheetView showGridLines="0" rightToLeft="1" tabSelected="1" zoomScaleNormal="100" workbookViewId="0">
      <selection activeCell="D9" sqref="D9"/>
    </sheetView>
  </sheetViews>
  <sheetFormatPr defaultRowHeight="14.25" x14ac:dyDescent="0.2"/>
  <cols>
    <col min="1" max="1" width="2.375" customWidth="1"/>
    <col min="2" max="2" width="5.625" customWidth="1"/>
    <col min="3" max="3" width="22.625" bestFit="1" customWidth="1"/>
    <col min="4" max="4" width="11.25" customWidth="1"/>
    <col min="5" max="5" width="11.375" customWidth="1"/>
    <col min="6" max="6" width="10.625" bestFit="1" customWidth="1"/>
    <col min="7" max="7" width="13" customWidth="1"/>
    <col min="8" max="8" width="11" customWidth="1"/>
    <col min="9" max="9" width="11.125" customWidth="1"/>
    <col min="10" max="10" width="11.75" customWidth="1"/>
    <col min="11" max="11" width="13.125" customWidth="1"/>
    <col min="12" max="12" width="11" bestFit="1" customWidth="1" collapsed="1"/>
    <col min="13" max="13" width="3.125" customWidth="1"/>
    <col min="14" max="15" width="10" customWidth="1"/>
    <col min="16" max="16" width="10" customWidth="1" collapsed="1"/>
    <col min="17" max="18" width="10" customWidth="1"/>
    <col min="19" max="19" width="9.125" customWidth="1" collapsed="1"/>
    <col min="21" max="21" width="22.625" bestFit="1" customWidth="1"/>
    <col min="22" max="22" width="6.25" customWidth="1"/>
    <col min="23" max="23" width="10" customWidth="1"/>
    <col min="25" max="25" width="11.125" bestFit="1" customWidth="1"/>
  </cols>
  <sheetData>
    <row r="1" spans="2:26" x14ac:dyDescent="0.2"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2:26" ht="18" x14ac:dyDescent="0.25">
      <c r="B2" s="99" t="s">
        <v>168</v>
      </c>
      <c r="C2" s="99"/>
      <c r="D2" s="98"/>
      <c r="E2" s="100"/>
      <c r="F2" s="98"/>
      <c r="G2" s="98"/>
      <c r="H2" s="98"/>
      <c r="I2" s="98"/>
      <c r="J2" s="98"/>
      <c r="K2" s="98"/>
      <c r="L2" s="98"/>
      <c r="M2" s="98"/>
      <c r="Y2" s="61"/>
    </row>
    <row r="3" spans="2:26" x14ac:dyDescent="0.2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S3" s="52"/>
      <c r="Y3" s="61"/>
    </row>
    <row r="4" spans="2:26" x14ac:dyDescent="0.2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S4" s="52"/>
      <c r="Y4" s="61"/>
    </row>
    <row r="5" spans="2:26" ht="18" x14ac:dyDescent="0.25">
      <c r="B5" s="112" t="s">
        <v>122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S5" s="52"/>
      <c r="Y5" s="61"/>
    </row>
    <row r="6" spans="2:26" ht="15" x14ac:dyDescent="0.25">
      <c r="C6" s="129" t="s">
        <v>82</v>
      </c>
      <c r="D6" t="s">
        <v>169</v>
      </c>
      <c r="E6" s="129" t="s">
        <v>112</v>
      </c>
      <c r="F6">
        <v>27824341</v>
      </c>
      <c r="H6" s="129" t="s">
        <v>79</v>
      </c>
      <c r="I6" s="51">
        <v>43391</v>
      </c>
      <c r="J6" s="129" t="s">
        <v>80</v>
      </c>
      <c r="K6" s="52">
        <v>0.5</v>
      </c>
      <c r="S6" s="52"/>
      <c r="Y6" s="61"/>
    </row>
    <row r="7" spans="2:26" ht="15.75" customHeight="1" x14ac:dyDescent="0.25">
      <c r="C7" s="129" t="s">
        <v>81</v>
      </c>
      <c r="D7" t="s">
        <v>155</v>
      </c>
      <c r="E7" s="129" t="s">
        <v>112</v>
      </c>
      <c r="F7">
        <v>52994688</v>
      </c>
      <c r="H7" s="129" t="s">
        <v>87</v>
      </c>
      <c r="I7" s="53" t="s">
        <v>163</v>
      </c>
      <c r="J7" s="129" t="s">
        <v>89</v>
      </c>
      <c r="K7">
        <v>239757</v>
      </c>
      <c r="S7" s="52"/>
      <c r="Y7" s="61"/>
    </row>
    <row r="8" spans="2:26" ht="15" x14ac:dyDescent="0.25">
      <c r="C8" s="129" t="s">
        <v>83</v>
      </c>
      <c r="D8" s="53" t="s">
        <v>156</v>
      </c>
      <c r="E8" s="129" t="s">
        <v>86</v>
      </c>
      <c r="F8">
        <v>4800</v>
      </c>
      <c r="H8" s="129" t="s">
        <v>90</v>
      </c>
      <c r="I8" s="53" t="s">
        <v>175</v>
      </c>
      <c r="J8" s="129" t="s">
        <v>92</v>
      </c>
      <c r="K8" s="53" t="s">
        <v>163</v>
      </c>
      <c r="Y8" s="61"/>
    </row>
    <row r="9" spans="2:26" ht="15" x14ac:dyDescent="0.25">
      <c r="C9" s="129" t="s">
        <v>84</v>
      </c>
      <c r="D9" s="53" t="s">
        <v>171</v>
      </c>
      <c r="E9" s="129" t="s">
        <v>85</v>
      </c>
      <c r="F9" s="134">
        <v>29.537939999999999</v>
      </c>
      <c r="H9" s="129" t="s">
        <v>91</v>
      </c>
      <c r="I9" s="53" t="s">
        <v>172</v>
      </c>
      <c r="J9" s="129" t="s">
        <v>93</v>
      </c>
      <c r="K9" s="53" t="s">
        <v>163</v>
      </c>
      <c r="Y9" s="61"/>
    </row>
    <row r="10" spans="2:26" ht="15" x14ac:dyDescent="0.25">
      <c r="C10" s="129" t="s">
        <v>127</v>
      </c>
      <c r="D10" s="53" t="s">
        <v>170</v>
      </c>
      <c r="E10" s="129" t="s">
        <v>128</v>
      </c>
      <c r="F10">
        <v>1</v>
      </c>
      <c r="H10" s="129" t="s">
        <v>124</v>
      </c>
      <c r="I10" t="s">
        <v>173</v>
      </c>
      <c r="J10" s="129" t="s">
        <v>126</v>
      </c>
      <c r="K10" s="132">
        <v>13</v>
      </c>
      <c r="Y10" s="61"/>
    </row>
    <row r="11" spans="2:26" ht="15" x14ac:dyDescent="0.25">
      <c r="C11" s="129" t="s">
        <v>157</v>
      </c>
      <c r="D11">
        <v>4501612599</v>
      </c>
      <c r="E11" s="129"/>
      <c r="H11" s="129" t="s">
        <v>125</v>
      </c>
      <c r="I11" s="53" t="s">
        <v>174</v>
      </c>
      <c r="J11" s="129" t="s">
        <v>165</v>
      </c>
      <c r="K11" t="s">
        <v>166</v>
      </c>
      <c r="Y11" s="61"/>
    </row>
    <row r="12" spans="2:26" ht="18" x14ac:dyDescent="0.25">
      <c r="B12" s="112" t="s">
        <v>123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Y12" s="61"/>
    </row>
    <row r="13" spans="2:26" ht="9" customHeight="1" thickBot="1" x14ac:dyDescent="0.25">
      <c r="V13" s="2"/>
      <c r="W13" s="1"/>
      <c r="Y13" s="61"/>
    </row>
    <row r="14" spans="2:26" ht="15.75" thickBot="1" x14ac:dyDescent="0.3">
      <c r="B14" s="80"/>
      <c r="C14" s="81" t="s">
        <v>69</v>
      </c>
      <c r="D14" s="81" t="s">
        <v>108</v>
      </c>
      <c r="E14" s="82" t="s">
        <v>46</v>
      </c>
      <c r="V14" s="2"/>
      <c r="W14" s="1"/>
      <c r="Y14" s="61"/>
    </row>
    <row r="15" spans="2:26" x14ac:dyDescent="0.2">
      <c r="B15" s="93">
        <v>1</v>
      </c>
      <c r="C15" s="94" t="str">
        <f>'שקלול הציון'!A4</f>
        <v>סכנת נפילת אדם</v>
      </c>
      <c r="D15" s="66">
        <f t="shared" ref="D15:D21" si="0">IF(Z15="",$Z$24+X15,0)</f>
        <v>0.37</v>
      </c>
      <c r="E15" s="67">
        <f>'שקלול הציון'!Q4</f>
        <v>0.11440000000000002</v>
      </c>
      <c r="V15" s="2"/>
      <c r="W15" s="1"/>
      <c r="X15" s="86">
        <v>0.33</v>
      </c>
      <c r="Y15" s="87">
        <f t="shared" ref="Y15:Y21" si="1">IF(Z15="",$Z$24,0)</f>
        <v>0.04</v>
      </c>
      <c r="Z15" s="88" t="str">
        <f t="shared" ref="Z15:Z21" si="2">IF(E15=0,X15,"")</f>
        <v/>
      </c>
    </row>
    <row r="16" spans="2:26" x14ac:dyDescent="0.2">
      <c r="B16" s="93">
        <f>B15+1</f>
        <v>2</v>
      </c>
      <c r="C16" s="94" t="str">
        <f>'שקלול הציון'!A12</f>
        <v>סכנת התמוטטות</v>
      </c>
      <c r="D16" s="66">
        <f t="shared" si="0"/>
        <v>0.39999999999999997</v>
      </c>
      <c r="E16" s="67">
        <f>'שקלול הציון'!Q12</f>
        <v>0.19968181818181818</v>
      </c>
      <c r="V16" s="2"/>
      <c r="W16" s="1"/>
      <c r="X16" s="89">
        <v>0.36</v>
      </c>
      <c r="Y16" s="90">
        <f t="shared" si="1"/>
        <v>0.04</v>
      </c>
      <c r="Z16" s="91" t="str">
        <f t="shared" si="2"/>
        <v/>
      </c>
    </row>
    <row r="17" spans="2:26" x14ac:dyDescent="0.2">
      <c r="B17" s="93">
        <f t="shared" ref="B17:B21" si="3">B16+1</f>
        <v>3</v>
      </c>
      <c r="C17" s="94" t="str">
        <f>'שקלול הציון'!A30</f>
        <v>נפילת חפצים ופסולת מגובה</v>
      </c>
      <c r="D17" s="66">
        <f t="shared" si="0"/>
        <v>0.12</v>
      </c>
      <c r="E17" s="67">
        <f>'שקלול הציון'!Q30</f>
        <v>5.1000000000000004E-2</v>
      </c>
      <c r="V17" s="2"/>
      <c r="W17" s="1"/>
      <c r="X17" s="89">
        <v>0.08</v>
      </c>
      <c r="Y17" s="90">
        <f t="shared" si="1"/>
        <v>0.04</v>
      </c>
      <c r="Z17" s="91" t="str">
        <f t="shared" si="2"/>
        <v/>
      </c>
    </row>
    <row r="18" spans="2:26" x14ac:dyDescent="0.2">
      <c r="B18" s="93">
        <f t="shared" si="3"/>
        <v>4</v>
      </c>
      <c r="C18" s="94" t="str">
        <f>'שקלול הציון'!A34</f>
        <v>סיכוני שינוע</v>
      </c>
      <c r="D18" s="66">
        <f t="shared" si="0"/>
        <v>0</v>
      </c>
      <c r="E18" s="67">
        <f>'שקלול הציון'!Q34</f>
        <v>0</v>
      </c>
      <c r="V18" s="2"/>
      <c r="W18" s="1"/>
      <c r="X18" s="89">
        <v>7.0000000000000007E-2</v>
      </c>
      <c r="Y18" s="90">
        <f t="shared" si="1"/>
        <v>0</v>
      </c>
      <c r="Z18" s="91">
        <f t="shared" si="2"/>
        <v>7.0000000000000007E-2</v>
      </c>
    </row>
    <row r="19" spans="2:26" x14ac:dyDescent="0.2">
      <c r="B19" s="93">
        <f t="shared" si="3"/>
        <v>5</v>
      </c>
      <c r="C19" s="94" t="str">
        <f>'שקלול הציון'!A39</f>
        <v>שימוש בציוד מגן</v>
      </c>
      <c r="D19" s="66">
        <f t="shared" si="0"/>
        <v>0</v>
      </c>
      <c r="E19" s="67">
        <f>'שקלול הציון'!Q39</f>
        <v>0</v>
      </c>
      <c r="V19" s="2"/>
      <c r="W19" s="1"/>
      <c r="X19" s="89">
        <v>0.05</v>
      </c>
      <c r="Y19" s="90">
        <f t="shared" si="1"/>
        <v>0</v>
      </c>
      <c r="Z19" s="91">
        <f t="shared" si="2"/>
        <v>0.05</v>
      </c>
    </row>
    <row r="20" spans="2:26" x14ac:dyDescent="0.2">
      <c r="B20" s="93">
        <f t="shared" si="3"/>
        <v>6</v>
      </c>
      <c r="C20" s="94" t="str">
        <f>'שקלול הציון'!A42</f>
        <v>רמת ארגון אתר</v>
      </c>
      <c r="D20" s="66">
        <f t="shared" si="0"/>
        <v>0.11000000000000001</v>
      </c>
      <c r="E20" s="67">
        <f>'שקלול הציון'!Q42</f>
        <v>1.5333333333333334E-2</v>
      </c>
      <c r="V20" s="2"/>
      <c r="W20" s="1"/>
      <c r="X20" s="89">
        <v>7.0000000000000007E-2</v>
      </c>
      <c r="Y20" s="90">
        <f t="shared" si="1"/>
        <v>0.04</v>
      </c>
      <c r="Z20" s="91" t="str">
        <f t="shared" si="2"/>
        <v/>
      </c>
    </row>
    <row r="21" spans="2:26" x14ac:dyDescent="0.2">
      <c r="B21" s="93">
        <f t="shared" si="3"/>
        <v>7</v>
      </c>
      <c r="C21" s="94" t="str">
        <f>'שקלול הציון'!A46</f>
        <v>סיכוני עבודה חמה</v>
      </c>
      <c r="D21" s="66">
        <f t="shared" si="0"/>
        <v>0</v>
      </c>
      <c r="E21" s="67">
        <f>'שקלול הציון'!Q46</f>
        <v>0</v>
      </c>
      <c r="V21" s="2"/>
      <c r="W21" s="1"/>
      <c r="X21" s="89">
        <v>0.04</v>
      </c>
      <c r="Y21" s="90">
        <f t="shared" si="1"/>
        <v>0</v>
      </c>
      <c r="Z21" s="91">
        <f t="shared" si="2"/>
        <v>0.04</v>
      </c>
    </row>
    <row r="22" spans="2:26" ht="15" thickBot="1" x14ac:dyDescent="0.25">
      <c r="B22" s="101"/>
      <c r="C22" s="101" t="s">
        <v>109</v>
      </c>
      <c r="D22" s="102">
        <f>SUM(D15:D21)</f>
        <v>1</v>
      </c>
      <c r="E22" s="103">
        <f>SUM(E15:E21)</f>
        <v>0.38041515151515148</v>
      </c>
      <c r="V22" s="2"/>
      <c r="W22" s="1"/>
      <c r="X22" s="3"/>
      <c r="Y22" s="90">
        <f>SUM(Y15:Y21)</f>
        <v>0.16</v>
      </c>
      <c r="Z22" s="92">
        <f>SUM(Z15:Z21)</f>
        <v>0.16</v>
      </c>
    </row>
    <row r="23" spans="2:26" ht="15" thickBot="1" x14ac:dyDescent="0.25">
      <c r="V23" s="2"/>
      <c r="W23" s="1"/>
      <c r="X23" s="3"/>
      <c r="Y23" s="62"/>
      <c r="Z23" s="91">
        <f>COUNT(Z15:Z21)</f>
        <v>3</v>
      </c>
    </row>
    <row r="24" spans="2:26" ht="15.75" customHeight="1" thickBot="1" x14ac:dyDescent="0.25">
      <c r="B24" s="115"/>
      <c r="C24" s="116"/>
      <c r="D24" s="116"/>
      <c r="E24" s="117"/>
      <c r="S24" s="52"/>
      <c r="X24" s="63"/>
      <c r="Y24" s="64"/>
      <c r="Z24" s="65">
        <f>Z22/(7-Z23)</f>
        <v>0.04</v>
      </c>
    </row>
    <row r="25" spans="2:26" ht="15" customHeight="1" x14ac:dyDescent="0.2">
      <c r="B25" s="118"/>
      <c r="C25" s="95"/>
      <c r="D25" s="95"/>
      <c r="E25" s="119"/>
      <c r="S25" s="52"/>
      <c r="X25" s="74"/>
      <c r="Y25" s="61"/>
    </row>
    <row r="26" spans="2:26" ht="15" customHeight="1" x14ac:dyDescent="0.2">
      <c r="B26" s="118"/>
      <c r="C26" s="95" t="s">
        <v>88</v>
      </c>
      <c r="D26" s="95" t="str">
        <f>IF(E22&gt;0.8,"גבוהה",IF(E22&lt;0.4,"נמוכה","בינונית"))</f>
        <v>נמוכה</v>
      </c>
      <c r="E26" s="119"/>
      <c r="S26" s="52"/>
      <c r="X26" s="74"/>
      <c r="Y26" s="61"/>
    </row>
    <row r="27" spans="2:26" ht="23.25" x14ac:dyDescent="0.2">
      <c r="B27" s="120"/>
      <c r="C27" s="96"/>
      <c r="D27" s="96"/>
      <c r="E27" s="119"/>
      <c r="S27" s="52"/>
      <c r="X27" s="74"/>
      <c r="Y27" s="61"/>
    </row>
    <row r="28" spans="2:26" ht="15" thickBot="1" x14ac:dyDescent="0.25">
      <c r="B28" s="121"/>
      <c r="C28" s="122"/>
      <c r="D28" s="122"/>
      <c r="E28" s="123"/>
      <c r="S28" s="52"/>
      <c r="X28" s="74"/>
      <c r="Y28" s="61"/>
    </row>
    <row r="29" spans="2:26" x14ac:dyDescent="0.2">
      <c r="S29" s="52"/>
      <c r="X29" s="74"/>
      <c r="Y29" s="61"/>
    </row>
    <row r="30" spans="2:26" x14ac:dyDescent="0.2">
      <c r="S30" s="52"/>
      <c r="X30" s="74"/>
      <c r="Y30" s="61"/>
    </row>
    <row r="31" spans="2:26" x14ac:dyDescent="0.2">
      <c r="S31" s="52"/>
      <c r="X31" s="74"/>
      <c r="Y31" s="61"/>
    </row>
    <row r="32" spans="2:26" x14ac:dyDescent="0.2">
      <c r="S32" s="52"/>
      <c r="X32" s="74"/>
      <c r="Y32" s="61"/>
    </row>
    <row r="33" spans="2:13" ht="18" x14ac:dyDescent="0.25">
      <c r="B33" s="112" t="s">
        <v>110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2:13" ht="7.5" customHeight="1" thickBot="1" x14ac:dyDescent="0.3">
      <c r="B34" s="75"/>
    </row>
    <row r="35" spans="2:13" ht="28.5" x14ac:dyDescent="0.2">
      <c r="C35" s="77" t="s">
        <v>94</v>
      </c>
      <c r="D35" s="78" t="s">
        <v>95</v>
      </c>
      <c r="E35" s="78" t="s">
        <v>96</v>
      </c>
      <c r="F35" s="78" t="s">
        <v>98</v>
      </c>
      <c r="G35" s="79" t="s">
        <v>97</v>
      </c>
    </row>
    <row r="36" spans="2:13" x14ac:dyDescent="0.2">
      <c r="C36" s="69">
        <v>1</v>
      </c>
      <c r="D36" s="70" t="s">
        <v>176</v>
      </c>
      <c r="E36" s="70">
        <v>4</v>
      </c>
      <c r="F36" s="70">
        <v>1200</v>
      </c>
      <c r="G36" s="71">
        <f>F36*E36</f>
        <v>4800</v>
      </c>
    </row>
    <row r="37" spans="2:13" x14ac:dyDescent="0.2">
      <c r="C37" s="69"/>
      <c r="D37" s="70"/>
      <c r="E37" s="70"/>
      <c r="F37" s="70"/>
      <c r="G37" s="71"/>
    </row>
    <row r="38" spans="2:13" x14ac:dyDescent="0.2">
      <c r="C38" s="69"/>
      <c r="D38" s="70"/>
      <c r="E38" s="70"/>
      <c r="F38" s="70"/>
      <c r="G38" s="71"/>
    </row>
    <row r="39" spans="2:13" ht="15" thickBot="1" x14ac:dyDescent="0.25">
      <c r="C39" s="68"/>
      <c r="D39" s="72"/>
      <c r="E39" s="72"/>
      <c r="F39" s="72"/>
      <c r="G39" s="73"/>
    </row>
    <row r="40" spans="2:13" ht="15.75" thickBot="1" x14ac:dyDescent="0.3">
      <c r="D40" s="49"/>
      <c r="E40" s="53"/>
      <c r="F40" s="104" t="s">
        <v>109</v>
      </c>
      <c r="G40" s="105">
        <f>SUM(G36:G39)</f>
        <v>4800</v>
      </c>
    </row>
    <row r="41" spans="2:13" ht="15" x14ac:dyDescent="0.25">
      <c r="D41" s="76"/>
      <c r="E41" s="53"/>
      <c r="G41" s="76"/>
    </row>
    <row r="42" spans="2:13" ht="18" x14ac:dyDescent="0.25">
      <c r="B42" s="112" t="s">
        <v>99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2:13" ht="9" customHeight="1" thickBot="1" x14ac:dyDescent="0.3">
      <c r="B43" s="75"/>
      <c r="F43" s="48"/>
    </row>
    <row r="44" spans="2:13" ht="15" x14ac:dyDescent="0.25">
      <c r="C44" s="83" t="s">
        <v>100</v>
      </c>
      <c r="D44" s="110" t="s">
        <v>101</v>
      </c>
      <c r="E44" s="84" t="s">
        <v>102</v>
      </c>
      <c r="F44" s="48"/>
    </row>
    <row r="45" spans="2:13" ht="15" x14ac:dyDescent="0.25">
      <c r="C45" s="69" t="s">
        <v>103</v>
      </c>
      <c r="D45" s="107"/>
      <c r="E45" s="71"/>
      <c r="F45" s="48"/>
    </row>
    <row r="46" spans="2:13" ht="15" x14ac:dyDescent="0.25">
      <c r="C46" s="69" t="s">
        <v>104</v>
      </c>
      <c r="D46" s="107"/>
      <c r="E46" s="71"/>
      <c r="F46" s="48"/>
    </row>
    <row r="47" spans="2:13" ht="15" x14ac:dyDescent="0.25">
      <c r="C47" s="69" t="s">
        <v>105</v>
      </c>
      <c r="D47" s="107"/>
      <c r="E47" s="71"/>
      <c r="F47" s="48"/>
    </row>
    <row r="48" spans="2:13" ht="15" x14ac:dyDescent="0.25">
      <c r="C48" s="69" t="s">
        <v>106</v>
      </c>
      <c r="D48" s="107"/>
      <c r="E48" s="71"/>
      <c r="F48" s="48"/>
    </row>
    <row r="49" spans="2:13" ht="15.75" thickBot="1" x14ac:dyDescent="0.3">
      <c r="C49" s="68" t="s">
        <v>107</v>
      </c>
      <c r="D49" s="108"/>
      <c r="E49" s="73"/>
      <c r="F49" s="48"/>
    </row>
    <row r="50" spans="2:13" ht="15.75" thickBot="1" x14ac:dyDescent="0.3">
      <c r="C50" s="106" t="s">
        <v>121</v>
      </c>
      <c r="D50" s="109">
        <f>SUM(D45:D49)</f>
        <v>0</v>
      </c>
      <c r="F50" s="48"/>
    </row>
    <row r="51" spans="2:13" ht="15" x14ac:dyDescent="0.25">
      <c r="D51" s="76"/>
      <c r="F51" s="48"/>
    </row>
    <row r="52" spans="2:13" ht="15" x14ac:dyDescent="0.25">
      <c r="F52" s="48"/>
    </row>
    <row r="53" spans="2:13" ht="18" x14ac:dyDescent="0.25">
      <c r="B53" s="112" t="s">
        <v>111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</row>
    <row r="54" spans="2:13" ht="7.5" customHeight="1" thickBot="1" x14ac:dyDescent="0.3">
      <c r="B54" s="75"/>
      <c r="C54" s="48"/>
      <c r="F54" s="48"/>
    </row>
    <row r="55" spans="2:13" x14ac:dyDescent="0.2">
      <c r="C55" s="135" t="s">
        <v>177</v>
      </c>
      <c r="D55" s="136"/>
      <c r="E55" s="136"/>
      <c r="F55" s="136"/>
      <c r="G55" s="136"/>
      <c r="H55" s="136"/>
      <c r="I55" s="136"/>
      <c r="J55" s="136"/>
      <c r="K55" s="136"/>
      <c r="L55" s="137"/>
    </row>
    <row r="56" spans="2:13" x14ac:dyDescent="0.2">
      <c r="C56" s="138"/>
      <c r="D56" s="139"/>
      <c r="E56" s="139"/>
      <c r="F56" s="139"/>
      <c r="G56" s="139"/>
      <c r="H56" s="139"/>
      <c r="I56" s="139"/>
      <c r="J56" s="139"/>
      <c r="K56" s="139"/>
      <c r="L56" s="140"/>
    </row>
    <row r="57" spans="2:13" x14ac:dyDescent="0.2">
      <c r="C57" s="138"/>
      <c r="D57" s="139"/>
      <c r="E57" s="139"/>
      <c r="F57" s="139"/>
      <c r="G57" s="139"/>
      <c r="H57" s="139"/>
      <c r="I57" s="139"/>
      <c r="J57" s="139"/>
      <c r="K57" s="139"/>
      <c r="L57" s="140"/>
    </row>
    <row r="58" spans="2:13" x14ac:dyDescent="0.2">
      <c r="C58" s="138"/>
      <c r="D58" s="139"/>
      <c r="E58" s="139"/>
      <c r="F58" s="139"/>
      <c r="G58" s="139"/>
      <c r="H58" s="139"/>
      <c r="I58" s="139"/>
      <c r="J58" s="139"/>
      <c r="K58" s="139"/>
      <c r="L58" s="140"/>
    </row>
    <row r="59" spans="2:13" x14ac:dyDescent="0.2">
      <c r="C59" s="138"/>
      <c r="D59" s="139"/>
      <c r="E59" s="139"/>
      <c r="F59" s="139"/>
      <c r="G59" s="139"/>
      <c r="H59" s="139"/>
      <c r="I59" s="139"/>
      <c r="J59" s="139"/>
      <c r="K59" s="139"/>
      <c r="L59" s="140"/>
    </row>
    <row r="60" spans="2:13" ht="15" thickBot="1" x14ac:dyDescent="0.25">
      <c r="C60" s="141"/>
      <c r="D60" s="142"/>
      <c r="E60" s="142"/>
      <c r="F60" s="142"/>
      <c r="G60" s="142"/>
      <c r="H60" s="142"/>
      <c r="I60" s="142"/>
      <c r="J60" s="142"/>
      <c r="K60" s="142"/>
      <c r="L60" s="143"/>
    </row>
    <row r="62" spans="2:13" ht="18" x14ac:dyDescent="0.25">
      <c r="B62" s="112" t="s">
        <v>115</v>
      </c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</row>
    <row r="63" spans="2:13" ht="9" customHeight="1" x14ac:dyDescent="0.2"/>
    <row r="64" spans="2:13" s="97" customFormat="1" ht="21.75" customHeight="1" x14ac:dyDescent="0.2">
      <c r="C64" s="97" t="s">
        <v>116</v>
      </c>
      <c r="H64" s="97" t="s">
        <v>118</v>
      </c>
    </row>
    <row r="65" spans="2:13" s="97" customFormat="1" ht="21.75" customHeight="1" x14ac:dyDescent="0.2">
      <c r="C65" s="97" t="s">
        <v>114</v>
      </c>
      <c r="H65" s="97" t="s">
        <v>119</v>
      </c>
    </row>
    <row r="66" spans="2:13" s="97" customFormat="1" ht="21.75" customHeight="1" x14ac:dyDescent="0.2">
      <c r="C66" s="97" t="s">
        <v>117</v>
      </c>
      <c r="H66" s="97" t="s">
        <v>120</v>
      </c>
    </row>
    <row r="69" spans="2:13" x14ac:dyDescent="0.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</row>
    <row r="70" spans="2:13" ht="18" x14ac:dyDescent="0.25">
      <c r="B70" s="99"/>
      <c r="C70" s="99"/>
      <c r="D70" s="98"/>
      <c r="E70" s="100"/>
      <c r="F70" s="98"/>
      <c r="G70" s="98"/>
      <c r="H70" s="98"/>
      <c r="I70" s="98"/>
      <c r="J70" s="98"/>
      <c r="K70" s="98"/>
      <c r="L70" s="98"/>
      <c r="M70" s="98"/>
    </row>
    <row r="71" spans="2:13" x14ac:dyDescent="0.2">
      <c r="B71" s="98" t="s">
        <v>113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</row>
    <row r="72" spans="2:13" x14ac:dyDescent="0.2"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</row>
  </sheetData>
  <mergeCells count="1">
    <mergeCell ref="C55:L60"/>
  </mergeCells>
  <conditionalFormatting sqref="E25 B24:E24 B26:E28">
    <cfRule type="expression" dxfId="6" priority="7">
      <formula>$D$26="גבוהה"</formula>
    </cfRule>
    <cfRule type="expression" dxfId="5" priority="8">
      <formula>$D$26="בינונית"</formula>
    </cfRule>
    <cfRule type="expression" dxfId="4" priority="9">
      <formula>$D$26="נמוכה"</formula>
    </cfRule>
  </conditionalFormatting>
  <conditionalFormatting sqref="B25:D25">
    <cfRule type="expression" dxfId="3" priority="1">
      <formula>$D$26="גבוהה"</formula>
    </cfRule>
    <cfRule type="expression" dxfId="2" priority="2">
      <formula>$D$26="בינונית"</formula>
    </cfRule>
    <cfRule type="expression" dxfId="1" priority="3">
      <formula>$D$26="נמוכה"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rightToLeft="1" topLeftCell="A52" workbookViewId="0">
      <selection activeCell="B1" sqref="B1"/>
    </sheetView>
  </sheetViews>
  <sheetFormatPr defaultRowHeight="14.25" outlineLevelCol="1" x14ac:dyDescent="0.2"/>
  <cols>
    <col min="1" max="1" width="22.625" bestFit="1" customWidth="1"/>
    <col min="2" max="2" width="9.375" customWidth="1"/>
    <col min="3" max="3" width="23.875" customWidth="1"/>
    <col min="4" max="4" width="10.625" bestFit="1" customWidth="1"/>
    <col min="5" max="5" width="33.25" customWidth="1"/>
    <col min="6" max="6" width="7.375" customWidth="1"/>
    <col min="7" max="7" width="6.25" bestFit="1" customWidth="1"/>
    <col min="8" max="8" width="3.625" hidden="1" customWidth="1" outlineLevel="1"/>
    <col min="9" max="9" width="4.625" hidden="1" customWidth="1" outlineLevel="1"/>
    <col min="10" max="10" width="7.875" bestFit="1" customWidth="1" collapsed="1"/>
    <col min="11" max="11" width="5" hidden="1" customWidth="1" outlineLevel="1"/>
    <col min="12" max="12" width="3.625" hidden="1" customWidth="1" outlineLevel="1"/>
    <col min="13" max="13" width="2" hidden="1" customWidth="1" outlineLevel="1"/>
    <col min="14" max="14" width="6.75" customWidth="1" collapsed="1"/>
    <col min="15" max="15" width="2" hidden="1" customWidth="1" outlineLevel="1"/>
    <col min="16" max="16" width="5" hidden="1" customWidth="1" outlineLevel="1"/>
    <col min="17" max="17" width="10.75" bestFit="1" customWidth="1" collapsed="1"/>
  </cols>
  <sheetData>
    <row r="1" spans="1:17" ht="18" x14ac:dyDescent="0.25">
      <c r="A1" s="85" t="s">
        <v>129</v>
      </c>
      <c r="B1" s="133" t="s">
        <v>167</v>
      </c>
      <c r="C1" s="50"/>
    </row>
    <row r="2" spans="1:17" ht="15.75" thickBot="1" x14ac:dyDescent="0.3">
      <c r="B2" s="49"/>
      <c r="C2" s="53"/>
      <c r="D2" s="48"/>
      <c r="Q2" s="52"/>
    </row>
    <row r="3" spans="1:17" ht="45.75" thickBot="1" x14ac:dyDescent="0.3">
      <c r="A3" s="11" t="s">
        <v>69</v>
      </c>
      <c r="B3" s="12" t="s">
        <v>76</v>
      </c>
      <c r="C3" s="12" t="s">
        <v>75</v>
      </c>
      <c r="D3" s="12" t="s">
        <v>77</v>
      </c>
      <c r="E3" s="12" t="s">
        <v>74</v>
      </c>
      <c r="F3" s="12" t="s">
        <v>78</v>
      </c>
      <c r="G3" s="12" t="s">
        <v>70</v>
      </c>
      <c r="H3" s="12"/>
      <c r="I3" s="12"/>
      <c r="J3" s="12" t="s">
        <v>71</v>
      </c>
      <c r="K3" s="12"/>
      <c r="L3" s="12"/>
      <c r="M3" s="12"/>
      <c r="N3" s="12" t="s">
        <v>73</v>
      </c>
      <c r="O3" s="12"/>
      <c r="P3" s="12"/>
      <c r="Q3" s="13" t="s">
        <v>72</v>
      </c>
    </row>
    <row r="4" spans="1:17" ht="15" x14ac:dyDescent="0.25">
      <c r="A4" s="153" t="s">
        <v>0</v>
      </c>
      <c r="B4" s="156">
        <v>0.33</v>
      </c>
      <c r="C4" s="170" t="s">
        <v>7</v>
      </c>
      <c r="D4" s="172">
        <v>0.1</v>
      </c>
      <c r="E4" s="7" t="s">
        <v>34</v>
      </c>
      <c r="F4" s="14">
        <v>7.0000000000000007E-2</v>
      </c>
      <c r="G4" s="15" t="str">
        <f>IF(COUNTIFS('ליקויים מהמערכת'!$G:$G,$B$1,'ליקויים מהמערכת'!$C:$C,REPLACE(E4,1,0,"ליקוי ל: "))=0,"",SUMIFS('ליקויים מהמערכת'!$H:$H,'ליקויים מהמערכת'!$G:$G,$B$1,'ליקויים מהמערכת'!$C:$C,REPLACE(E4,1,0,"ליקוי ל: "))/100)</f>
        <v/>
      </c>
      <c r="H4" s="16">
        <f t="shared" ref="H4:H48" si="0">IF(G4="",F4,"")</f>
        <v>7.0000000000000007E-2</v>
      </c>
      <c r="I4" s="147">
        <f>SUM(H4:H5)</f>
        <v>0.1</v>
      </c>
      <c r="J4" s="17" t="str">
        <f>IFERROR(IF(G4="","",(F4+I$4/COUNTA(G$4:G$5))*G4),F4*G4)</f>
        <v/>
      </c>
      <c r="K4" s="144">
        <f>IF(COUNTBLANK(G4:G5)=COUNTA(F4:F5),D4,"")</f>
        <v>0.1</v>
      </c>
      <c r="L4" s="147">
        <f>IFERROR(SUM(K4:K11)/SUM(M4:M11),0)</f>
        <v>0.23</v>
      </c>
      <c r="M4" s="144" t="str">
        <f>IF(K4="",1,"")</f>
        <v/>
      </c>
      <c r="N4" s="164">
        <f>SUM(J4:J5)/D4*L$4+SUM(J4:J5)</f>
        <v>0</v>
      </c>
      <c r="O4" s="144">
        <f>IF(L4&gt;0,1,IF(SUM(M4:M11)=4,1,""))</f>
        <v>1</v>
      </c>
      <c r="P4" s="147" t="str">
        <f>IF(O4="",B4,"")</f>
        <v/>
      </c>
      <c r="Q4" s="150">
        <f>SUM(P4:P48)/SUM(O4:O48)*(SUM(N4:N11)/B4)+SUM(N4:N11)</f>
        <v>0.11440000000000002</v>
      </c>
    </row>
    <row r="5" spans="1:17" ht="30" x14ac:dyDescent="0.25">
      <c r="A5" s="154"/>
      <c r="B5" s="157"/>
      <c r="C5" s="171"/>
      <c r="D5" s="168"/>
      <c r="E5" s="4" t="s">
        <v>35</v>
      </c>
      <c r="F5" s="18">
        <v>0.03</v>
      </c>
      <c r="G5" s="19" t="str">
        <f>IF(COUNTIFS('ליקויים מהמערכת'!$G:$G,$B$1,'ליקויים מהמערכת'!$C:$C,REPLACE(E5,1,0,"ליקוי ל: "))=0,"",SUMIFS('ליקויים מהמערכת'!$H:$H,'ליקויים מהמערכת'!$G:$G,$B$1,'ליקויים מהמערכת'!$C:$C,REPLACE(E5,1,0,"ליקוי ל: "))/100)</f>
        <v/>
      </c>
      <c r="H5" s="20">
        <f t="shared" si="0"/>
        <v>0.03</v>
      </c>
      <c r="I5" s="148"/>
      <c r="J5" s="21" t="str">
        <f>IFERROR(IF(G5="","",(F5+I$4/COUNT(G$4:G$5))*G5),F5*G5)</f>
        <v/>
      </c>
      <c r="K5" s="145"/>
      <c r="L5" s="148"/>
      <c r="M5" s="145"/>
      <c r="N5" s="162"/>
      <c r="O5" s="145"/>
      <c r="P5" s="148"/>
      <c r="Q5" s="151"/>
    </row>
    <row r="6" spans="1:17" ht="15" x14ac:dyDescent="0.25">
      <c r="A6" s="154"/>
      <c r="B6" s="157"/>
      <c r="C6" s="173" t="s">
        <v>8</v>
      </c>
      <c r="D6" s="175">
        <v>0.09</v>
      </c>
      <c r="E6" s="4" t="s">
        <v>36</v>
      </c>
      <c r="F6" s="18">
        <v>0.05</v>
      </c>
      <c r="G6" s="19" t="str">
        <f>IF(COUNTIFS('ליקויים מהמערכת'!$G:$G,$B$1,'ליקויים מהמערכת'!$C:$C,REPLACE(E6,1,0,"ליקוי ל: "))=0,"",SUMIFS('ליקויים מהמערכת'!$H:$H,'ליקויים מהמערכת'!$G:$G,$B$1,'ליקויים מהמערכת'!$C:$C,REPLACE(E6,1,0,"ליקוי ל: "))/100)</f>
        <v/>
      </c>
      <c r="H6" s="20">
        <f t="shared" si="0"/>
        <v>0.05</v>
      </c>
      <c r="I6" s="148">
        <f>SUM(H6:H7)</f>
        <v>0.09</v>
      </c>
      <c r="J6" s="21" t="str">
        <f>IFERROR(IF(G6="","",(F6+I$6/COUNT(G$6:G$7))*G6),F6*G6)</f>
        <v/>
      </c>
      <c r="K6" s="145">
        <f>IF(COUNTBLANK(G6:G7)=COUNTA(F6:F7),D6,"")</f>
        <v>0.09</v>
      </c>
      <c r="L6" s="148"/>
      <c r="M6" s="145" t="str">
        <f>IF(K6="",1,"")</f>
        <v/>
      </c>
      <c r="N6" s="162">
        <f>SUM(J6:J7)/D6*L$4+SUM(J6:J7)</f>
        <v>0</v>
      </c>
      <c r="O6" s="145"/>
      <c r="P6" s="148"/>
      <c r="Q6" s="151"/>
    </row>
    <row r="7" spans="1:17" ht="15" x14ac:dyDescent="0.25">
      <c r="A7" s="154"/>
      <c r="B7" s="157"/>
      <c r="C7" s="174"/>
      <c r="D7" s="176"/>
      <c r="E7" s="5" t="s">
        <v>47</v>
      </c>
      <c r="F7" s="22">
        <v>0.04</v>
      </c>
      <c r="G7" s="19" t="str">
        <f>IF(COUNTIFS('ליקויים מהמערכת'!$G:$G,$B$1,'ליקויים מהמערכת'!$C:$C,REPLACE(E7,1,0,"ליקוי ל: "))=0,"",SUMIFS('ליקויים מהמערכת'!$H:$H,'ליקויים מהמערכת'!$G:$G,$B$1,'ליקויים מהמערכת'!$C:$C,REPLACE(E7,1,0,"ליקוי ל: "))/100)</f>
        <v/>
      </c>
      <c r="H7" s="20">
        <f t="shared" si="0"/>
        <v>0.04</v>
      </c>
      <c r="I7" s="148"/>
      <c r="J7" s="21" t="str">
        <f>IFERROR(IF(G7="","",(F7+I$6/COUNT(G$6:G$7))*G7),F7*G7)</f>
        <v/>
      </c>
      <c r="K7" s="145"/>
      <c r="L7" s="148"/>
      <c r="M7" s="145"/>
      <c r="N7" s="162"/>
      <c r="O7" s="145"/>
      <c r="P7" s="148"/>
      <c r="Q7" s="151"/>
    </row>
    <row r="8" spans="1:17" ht="15" x14ac:dyDescent="0.25">
      <c r="A8" s="154"/>
      <c r="B8" s="157"/>
      <c r="C8" s="171" t="s">
        <v>9</v>
      </c>
      <c r="D8" s="168">
        <v>0.1</v>
      </c>
      <c r="E8" s="4" t="s">
        <v>37</v>
      </c>
      <c r="F8" s="22">
        <v>7.0000000000000007E-2</v>
      </c>
      <c r="G8" s="19">
        <f>IF(COUNTIFS('ליקויים מהמערכת'!$G:$G,$B$1,'ליקויים מהמערכת'!$C:$C,REPLACE(E8,1,0,"ליקוי ל: "))=0,"",SUMIFS('ליקויים מהמערכת'!$H:$H,'ליקויים מהמערכת'!$G:$G,$B$1,'ליקויים מהמערכת'!$C:$C,REPLACE(E8,1,0,"ליקוי ל: "))/100)</f>
        <v>0.25</v>
      </c>
      <c r="H8" s="20" t="str">
        <f t="shared" si="0"/>
        <v/>
      </c>
      <c r="I8" s="148">
        <f>SUM(H8:H9)</f>
        <v>0</v>
      </c>
      <c r="J8" s="21">
        <f>IFERROR(IF(G8="","",(F8+I$8/COUNT(G$8:G$9))*G8),F8*G8)</f>
        <v>1.7500000000000002E-2</v>
      </c>
      <c r="K8" s="145" t="str">
        <f>IF(COUNTBLANK(G8:G9)=COUNTA(F8:F9),D8,"")</f>
        <v/>
      </c>
      <c r="L8" s="148"/>
      <c r="M8" s="145">
        <f>IF(K8="",1,"")</f>
        <v>1</v>
      </c>
      <c r="N8" s="162">
        <f>SUM(J8:J9)/D8*L$4+SUM(J8:J9)</f>
        <v>0.10725000000000001</v>
      </c>
      <c r="O8" s="145"/>
      <c r="P8" s="148"/>
      <c r="Q8" s="151"/>
    </row>
    <row r="9" spans="1:17" ht="30" x14ac:dyDescent="0.25">
      <c r="A9" s="154"/>
      <c r="B9" s="157"/>
      <c r="C9" s="171"/>
      <c r="D9" s="168"/>
      <c r="E9" s="4" t="s">
        <v>38</v>
      </c>
      <c r="F9" s="18">
        <v>0.03</v>
      </c>
      <c r="G9" s="19">
        <f>IF(COUNTIFS('ליקויים מהמערכת'!$G:$G,$B$1,'ליקויים מהמערכת'!$C:$C,REPLACE(E9,1,0,"ליקוי ל: "))=0,"",SUMIFS('ליקויים מהמערכת'!$H:$H,'ליקויים מהמערכת'!$G:$G,$B$1,'ליקויים מהמערכת'!$C:$C,REPLACE(E9,1,0,"ליקוי ל: "))/100)</f>
        <v>0.5</v>
      </c>
      <c r="H9" s="20" t="str">
        <f t="shared" si="0"/>
        <v/>
      </c>
      <c r="I9" s="148"/>
      <c r="J9" s="21">
        <f>IFERROR(IF(G9="","",(F9+I$8/COUNT(G$8:G$9))*G9),F9*G9)</f>
        <v>1.4999999999999999E-2</v>
      </c>
      <c r="K9" s="145"/>
      <c r="L9" s="148"/>
      <c r="M9" s="145"/>
      <c r="N9" s="162"/>
      <c r="O9" s="145"/>
      <c r="P9" s="148"/>
      <c r="Q9" s="151"/>
    </row>
    <row r="10" spans="1:17" ht="15" x14ac:dyDescent="0.25">
      <c r="A10" s="154"/>
      <c r="B10" s="157"/>
      <c r="C10" s="171" t="s">
        <v>10</v>
      </c>
      <c r="D10" s="168">
        <v>0.04</v>
      </c>
      <c r="E10" s="5" t="s">
        <v>48</v>
      </c>
      <c r="F10" s="22">
        <v>0.02</v>
      </c>
      <c r="G10" s="23" t="str">
        <f>IF(COUNTIFS('ליקויים מהמערכת'!$G:$G,$B$1,'ליקויים מהמערכת'!$C:$C,REPLACE(E10,1,0,"ליקוי ל: "))=0,"",SUMIFS('ליקויים מהמערכת'!$H:$H,'ליקויים מהמערכת'!$G:$G,$B$1,'ליקויים מהמערכת'!$C:$C,REPLACE(E10,1,0,"ליקוי ל: "))/100)</f>
        <v/>
      </c>
      <c r="H10" s="20">
        <f t="shared" si="0"/>
        <v>0.02</v>
      </c>
      <c r="I10" s="148">
        <f>SUM(H10:H11)</f>
        <v>0.04</v>
      </c>
      <c r="J10" s="21" t="str">
        <f>IFERROR(IF(G10="","",(F10+I$10/COUNT(G$10:G$11))*G10),F10*G10)</f>
        <v/>
      </c>
      <c r="K10" s="148">
        <f>IF(COUNTBLANK(G10:G11)=COUNTA(F10:F11),D10,"")</f>
        <v>0.04</v>
      </c>
      <c r="L10" s="148"/>
      <c r="M10" s="145" t="str">
        <f>IF(K10="",1,"")</f>
        <v/>
      </c>
      <c r="N10" s="162">
        <f>SUM(J10:J11)/D10*L$4+SUM(J10:J11)</f>
        <v>0</v>
      </c>
      <c r="O10" s="145"/>
      <c r="P10" s="148"/>
      <c r="Q10" s="151"/>
    </row>
    <row r="11" spans="1:17" ht="15.75" thickBot="1" x14ac:dyDescent="0.3">
      <c r="A11" s="155"/>
      <c r="B11" s="158"/>
      <c r="C11" s="177"/>
      <c r="D11" s="169"/>
      <c r="E11" s="8" t="s">
        <v>39</v>
      </c>
      <c r="F11" s="24">
        <v>0.02</v>
      </c>
      <c r="G11" s="25" t="str">
        <f>IF(COUNTIFS('ליקויים מהמערכת'!$G:$G,$B$1,'ליקויים מהמערכת'!$C:$C,REPLACE(E11,1,0,"ליקוי ל: "))=0,"",SUMIFS('ליקויים מהמערכת'!$H:$H,'ליקויים מהמערכת'!$G:$G,$B$1,'ליקויים מהמערכת'!$C:$C,REPLACE(E11,1,0,"ליקוי ל: "))/100)</f>
        <v/>
      </c>
      <c r="H11" s="26">
        <f t="shared" si="0"/>
        <v>0.02</v>
      </c>
      <c r="I11" s="149"/>
      <c r="J11" s="27" t="str">
        <f>IFERROR(IF(G11="","",(F11+I$10/COUNT(G$10:G$11))*G11),F11*G11)</f>
        <v/>
      </c>
      <c r="K11" s="149"/>
      <c r="L11" s="149"/>
      <c r="M11" s="146"/>
      <c r="N11" s="163"/>
      <c r="O11" s="146"/>
      <c r="P11" s="149"/>
      <c r="Q11" s="152"/>
    </row>
    <row r="12" spans="1:17" ht="30" x14ac:dyDescent="0.25">
      <c r="A12" s="153" t="s">
        <v>1</v>
      </c>
      <c r="B12" s="156">
        <v>0.36</v>
      </c>
      <c r="C12" s="170" t="s">
        <v>11</v>
      </c>
      <c r="D12" s="172">
        <v>0.22</v>
      </c>
      <c r="E12" s="7" t="s">
        <v>40</v>
      </c>
      <c r="F12" s="14">
        <v>0.03</v>
      </c>
      <c r="G12" s="15" t="str">
        <f>IF(COUNTIFS('ליקויים מהמערכת'!$G:$G,$B$1,'ליקויים מהמערכת'!$C:$C,REPLACE(E12,1,0,"ליקוי ל: "))=0,"",SUMIFS('ליקויים מהמערכת'!$H:$H,'ליקויים מהמערכת'!$G:$G,$B$1,'ליקויים מהמערכת'!$C:$C,REPLACE(E12,1,0,"ליקוי ל: "))/100)</f>
        <v/>
      </c>
      <c r="H12" s="16">
        <f t="shared" si="0"/>
        <v>0.03</v>
      </c>
      <c r="I12" s="147">
        <f>SUM(H12:H20)</f>
        <v>0.15</v>
      </c>
      <c r="J12" s="28" t="str">
        <f t="shared" ref="J12:J20" si="1">IFERROR(IF(G12="","",(F12+I$12/COUNT(G$12:G$20))*G12),F12*G12)</f>
        <v/>
      </c>
      <c r="K12" s="147" t="str">
        <f>IF(COUNTBLANK(G12:G20)=COUNTA(F12:F20),D12,"")</f>
        <v/>
      </c>
      <c r="L12" s="147">
        <f>IFERROR(SUM(K12:K29)/SUM(M12:M29),0)</f>
        <v>0.14000000000000001</v>
      </c>
      <c r="M12" s="144">
        <f>IF(K12="",1,"")</f>
        <v>1</v>
      </c>
      <c r="N12" s="164">
        <f>SUM(J12:J20)/D12*L12+SUM(J12:J20)</f>
        <v>0.18818181818181817</v>
      </c>
      <c r="O12" s="165">
        <f>IF(L12&gt;0,1,IF(SUM(M12:M29)=6,1,""))</f>
        <v>1</v>
      </c>
      <c r="P12" s="147" t="str">
        <f>IF(O12="",B12,"")</f>
        <v/>
      </c>
      <c r="Q12" s="150">
        <f>SUM(P4:P48)/SUM(O4:O48)*(SUM(N12:N29)/B12)+SUM(N12:N29)</f>
        <v>0.19968181818181818</v>
      </c>
    </row>
    <row r="13" spans="1:17" ht="15" x14ac:dyDescent="0.25">
      <c r="A13" s="154"/>
      <c r="B13" s="157"/>
      <c r="C13" s="171"/>
      <c r="D13" s="168"/>
      <c r="E13" s="4" t="s">
        <v>41</v>
      </c>
      <c r="F13" s="18">
        <v>0.03</v>
      </c>
      <c r="G13" s="23" t="str">
        <f>IF(COUNTIFS('ליקויים מהמערכת'!$G:$G,$B$1,'ליקויים מהמערכת'!$C:$C,REPLACE(E13,1,0,"ליקוי ל: "))=0,"",SUMIFS('ליקויים מהמערכת'!$H:$H,'ליקויים מהמערכת'!$G:$G,$B$1,'ליקויים מהמערכת'!$C:$C,REPLACE(E13,1,0,"ליקוי ל: "))/100)</f>
        <v/>
      </c>
      <c r="H13" s="20">
        <f t="shared" si="0"/>
        <v>0.03</v>
      </c>
      <c r="I13" s="148"/>
      <c r="J13" s="29" t="str">
        <f t="shared" si="1"/>
        <v/>
      </c>
      <c r="K13" s="148"/>
      <c r="L13" s="148"/>
      <c r="M13" s="145"/>
      <c r="N13" s="162"/>
      <c r="O13" s="166"/>
      <c r="P13" s="148"/>
      <c r="Q13" s="151"/>
    </row>
    <row r="14" spans="1:17" ht="30" x14ac:dyDescent="0.25">
      <c r="A14" s="154"/>
      <c r="B14" s="157"/>
      <c r="C14" s="171"/>
      <c r="D14" s="168"/>
      <c r="E14" s="4" t="s">
        <v>42</v>
      </c>
      <c r="F14" s="18">
        <v>0.03</v>
      </c>
      <c r="G14" s="23" t="str">
        <f>IF(COUNTIFS('ליקויים מהמערכת'!$G:$G,$B$1,'ליקויים מהמערכת'!$C:$C,REPLACE(E14,1,0,"ליקוי ל: "))=0,"",SUMIFS('ליקויים מהמערכת'!$H:$H,'ליקויים מהמערכת'!$G:$G,$B$1,'ליקויים מהמערכת'!$C:$C,REPLACE(E14,1,0,"ליקוי ל: "))/100)</f>
        <v/>
      </c>
      <c r="H14" s="20">
        <f t="shared" si="0"/>
        <v>0.03</v>
      </c>
      <c r="I14" s="148"/>
      <c r="J14" s="29" t="str">
        <f t="shared" si="1"/>
        <v/>
      </c>
      <c r="K14" s="148"/>
      <c r="L14" s="148"/>
      <c r="M14" s="145"/>
      <c r="N14" s="162"/>
      <c r="O14" s="166"/>
      <c r="P14" s="148"/>
      <c r="Q14" s="151"/>
    </row>
    <row r="15" spans="1:17" ht="29.25" x14ac:dyDescent="0.2">
      <c r="A15" s="154"/>
      <c r="B15" s="157"/>
      <c r="C15" s="171"/>
      <c r="D15" s="168"/>
      <c r="E15" s="5" t="s">
        <v>49</v>
      </c>
      <c r="F15" s="22">
        <v>0.03</v>
      </c>
      <c r="G15" s="23">
        <f>IF(COUNTIFS('ליקויים מהמערכת'!$G:$G,$B$1,'ליקויים מהמערכת'!$C:$C,REPLACE(E15,1,0,"ליקוי ל: "))=0,"",SUMIFS('ליקויים מהמערכת'!$H:$H,'ליקויים מהמערכת'!$G:$G,$B$1,'ליקויים מהמערכת'!$C:$C,REPLACE(E15,1,0,"ליקוי ל: "))/100)</f>
        <v>1</v>
      </c>
      <c r="H15" s="20" t="str">
        <f t="shared" si="0"/>
        <v/>
      </c>
      <c r="I15" s="148"/>
      <c r="J15" s="29">
        <f t="shared" si="1"/>
        <v>7.9999999999999988E-2</v>
      </c>
      <c r="K15" s="148"/>
      <c r="L15" s="148"/>
      <c r="M15" s="145"/>
      <c r="N15" s="162"/>
      <c r="O15" s="166"/>
      <c r="P15" s="148"/>
      <c r="Q15" s="151"/>
    </row>
    <row r="16" spans="1:17" ht="30" x14ac:dyDescent="0.25">
      <c r="A16" s="154"/>
      <c r="B16" s="157"/>
      <c r="C16" s="171"/>
      <c r="D16" s="168"/>
      <c r="E16" s="5" t="s">
        <v>50</v>
      </c>
      <c r="F16" s="22">
        <v>0.02</v>
      </c>
      <c r="G16" s="23">
        <f>IF(COUNTIFS('ליקויים מהמערכת'!$G:$G,$B$1,'ליקויים מהמערכת'!$C:$C,REPLACE(E16,1,0,"ליקוי ל: "))=0,"",SUMIFS('ליקויים מהמערכת'!$H:$H,'ליקויים מהמערכת'!$G:$G,$B$1,'ליקויים מהמערכת'!$C:$C,REPLACE(E16,1,0,"ליקוי ל: "))/100)</f>
        <v>0.5</v>
      </c>
      <c r="H16" s="20" t="str">
        <f t="shared" si="0"/>
        <v/>
      </c>
      <c r="I16" s="148"/>
      <c r="J16" s="29">
        <f t="shared" si="1"/>
        <v>3.4999999999999996E-2</v>
      </c>
      <c r="K16" s="148"/>
      <c r="L16" s="148"/>
      <c r="M16" s="145"/>
      <c r="N16" s="162"/>
      <c r="O16" s="166"/>
      <c r="P16" s="148"/>
      <c r="Q16" s="151"/>
    </row>
    <row r="17" spans="1:17" ht="30" x14ac:dyDescent="0.25">
      <c r="A17" s="154"/>
      <c r="B17" s="157"/>
      <c r="C17" s="171"/>
      <c r="D17" s="168"/>
      <c r="E17" s="5" t="s">
        <v>51</v>
      </c>
      <c r="F17" s="22">
        <v>0.02</v>
      </c>
      <c r="G17" s="23">
        <f>IF(COUNTIFS('ליקויים מהמערכת'!$G:$G,$B$1,'ליקויים מהמערכת'!$C:$C,REPLACE(E17,1,0,"ליקוי ל: "))=0,"",SUMIFS('ליקויים מהמערכת'!$H:$H,'ליקויים מהמערכת'!$G:$G,$B$1,'ליקויים מהמערכת'!$C:$C,REPLACE(E17,1,0,"ליקוי ל: "))/100)</f>
        <v>0</v>
      </c>
      <c r="H17" s="20" t="str">
        <f t="shared" si="0"/>
        <v/>
      </c>
      <c r="I17" s="148"/>
      <c r="J17" s="29">
        <f t="shared" si="1"/>
        <v>0</v>
      </c>
      <c r="K17" s="148"/>
      <c r="L17" s="148"/>
      <c r="M17" s="145"/>
      <c r="N17" s="162"/>
      <c r="O17" s="166"/>
      <c r="P17" s="148"/>
      <c r="Q17" s="151"/>
    </row>
    <row r="18" spans="1:17" ht="15" x14ac:dyDescent="0.25">
      <c r="A18" s="154"/>
      <c r="B18" s="157"/>
      <c r="C18" s="171"/>
      <c r="D18" s="168"/>
      <c r="E18" s="5" t="s">
        <v>52</v>
      </c>
      <c r="F18" s="22">
        <v>0.02</v>
      </c>
      <c r="G18" s="23" t="str">
        <f>IF(COUNTIFS('ליקויים מהמערכת'!$G:$G,$B$1,'ליקויים מהמערכת'!$C:$C,REPLACE(E18,1,0,"ליקוי ל: "))=0,"",SUMIFS('ליקויים מהמערכת'!$H:$H,'ליקויים מהמערכת'!$G:$G,$B$1,'ליקויים מהמערכת'!$C:$C,REPLACE(E18,1,0,"ליקוי ל: "))/100)</f>
        <v/>
      </c>
      <c r="H18" s="20">
        <f t="shared" si="0"/>
        <v>0.02</v>
      </c>
      <c r="I18" s="148"/>
      <c r="J18" s="29" t="str">
        <f t="shared" si="1"/>
        <v/>
      </c>
      <c r="K18" s="148"/>
      <c r="L18" s="148"/>
      <c r="M18" s="145"/>
      <c r="N18" s="162"/>
      <c r="O18" s="166"/>
      <c r="P18" s="148"/>
      <c r="Q18" s="151"/>
    </row>
    <row r="19" spans="1:17" ht="15" x14ac:dyDescent="0.25">
      <c r="A19" s="154"/>
      <c r="B19" s="157"/>
      <c r="C19" s="171"/>
      <c r="D19" s="168"/>
      <c r="E19" s="5" t="s">
        <v>53</v>
      </c>
      <c r="F19" s="22">
        <v>0.02</v>
      </c>
      <c r="G19" s="23" t="str">
        <f>IF(COUNTIFS('ליקויים מהמערכת'!$G:$G,$B$1,'ליקויים מהמערכת'!$C:$C,REPLACE(E19,1,0,"ליקוי ל: "))=0,"",SUMIFS('ליקויים מהמערכת'!$H:$H,'ליקויים מהמערכת'!$G:$G,$B$1,'ליקויים מהמערכת'!$C:$C,REPLACE(E19,1,0,"ליקוי ל: "))/100)</f>
        <v/>
      </c>
      <c r="H19" s="20">
        <f t="shared" si="0"/>
        <v>0.02</v>
      </c>
      <c r="I19" s="148"/>
      <c r="J19" s="29" t="str">
        <f t="shared" si="1"/>
        <v/>
      </c>
      <c r="K19" s="148"/>
      <c r="L19" s="148"/>
      <c r="M19" s="145"/>
      <c r="N19" s="162"/>
      <c r="O19" s="166"/>
      <c r="P19" s="148"/>
      <c r="Q19" s="151"/>
    </row>
    <row r="20" spans="1:17" ht="30" x14ac:dyDescent="0.25">
      <c r="A20" s="154"/>
      <c r="B20" s="157"/>
      <c r="C20" s="171"/>
      <c r="D20" s="168"/>
      <c r="E20" s="5" t="s">
        <v>54</v>
      </c>
      <c r="F20" s="22">
        <v>0.02</v>
      </c>
      <c r="G20" s="23" t="str">
        <f>IF(COUNTIFS('ליקויים מהמערכת'!$G:$G,$B$1,'ליקויים מהמערכת'!$C:$C,REPLACE(E20,1,0,"ליקוי ל: "))=0,"",SUMIFS('ליקויים מהמערכת'!$H:$H,'ליקויים מהמערכת'!$G:$G,$B$1,'ליקויים מהמערכת'!$C:$C,REPLACE(E20,1,0,"ליקוי ל: "))/100)</f>
        <v/>
      </c>
      <c r="H20" s="20">
        <f t="shared" si="0"/>
        <v>0.02</v>
      </c>
      <c r="I20" s="148"/>
      <c r="J20" s="29" t="str">
        <f t="shared" si="1"/>
        <v/>
      </c>
      <c r="K20" s="148"/>
      <c r="L20" s="148"/>
      <c r="M20" s="145"/>
      <c r="N20" s="162"/>
      <c r="O20" s="166"/>
      <c r="P20" s="148"/>
      <c r="Q20" s="151"/>
    </row>
    <row r="21" spans="1:17" ht="30" x14ac:dyDescent="0.25">
      <c r="A21" s="154"/>
      <c r="B21" s="157"/>
      <c r="C21" s="171" t="s">
        <v>12</v>
      </c>
      <c r="D21" s="168">
        <v>0.04</v>
      </c>
      <c r="E21" s="5" t="s">
        <v>55</v>
      </c>
      <c r="F21" s="22">
        <v>0.02</v>
      </c>
      <c r="G21" s="23" t="str">
        <f>IF(COUNTIFS('ליקויים מהמערכת'!$G:$G,$B$1,'ליקויים מהמערכת'!$C:$C,REPLACE(E21,1,0,"ליקוי ל: "))=0,"",SUMIFS('ליקויים מהמערכת'!$H:$H,'ליקויים מהמערכת'!$G:$G,$B$1,'ליקויים מהמערכת'!$C:$C,REPLACE(E21,1,0,"ליקוי ל: "))/100)</f>
        <v/>
      </c>
      <c r="H21" s="20">
        <f t="shared" si="0"/>
        <v>0.02</v>
      </c>
      <c r="I21" s="148">
        <f>SUM(H21:H22)</f>
        <v>0.04</v>
      </c>
      <c r="J21" s="29" t="str">
        <f>IFERROR(IF(G21="","",(F21+I$21/COUNT(G$21:G$22))*G21),F21*G21)</f>
        <v/>
      </c>
      <c r="K21" s="148">
        <f>IF(COUNTBLANK(G21:G22)=COUNTA(F21:F22),D21,"")</f>
        <v>0.04</v>
      </c>
      <c r="L21" s="148"/>
      <c r="M21" s="145" t="str">
        <f>IF(K21="",1,"")</f>
        <v/>
      </c>
      <c r="N21" s="162">
        <f>SUM(J21:J22)/D21*L12+SUM(J21:J22)</f>
        <v>0</v>
      </c>
      <c r="O21" s="166"/>
      <c r="P21" s="148"/>
      <c r="Q21" s="151"/>
    </row>
    <row r="22" spans="1:17" ht="30" x14ac:dyDescent="0.25">
      <c r="A22" s="154"/>
      <c r="B22" s="157"/>
      <c r="C22" s="171"/>
      <c r="D22" s="168"/>
      <c r="E22" s="5" t="s">
        <v>56</v>
      </c>
      <c r="F22" s="22">
        <v>0.02</v>
      </c>
      <c r="G22" s="23" t="str">
        <f>IF(COUNTIFS('ליקויים מהמערכת'!$G:$G,$B$1,'ליקויים מהמערכת'!$C:$C,REPLACE(E22,1,0,"ליקוי ל: "))=0,"",SUMIFS('ליקויים מהמערכת'!$H:$H,'ליקויים מהמערכת'!$G:$G,$B$1,'ליקויים מהמערכת'!$C:$C,REPLACE(E22,1,0,"ליקוי ל: "))/100)</f>
        <v/>
      </c>
      <c r="H22" s="20">
        <f t="shared" si="0"/>
        <v>0.02</v>
      </c>
      <c r="I22" s="148"/>
      <c r="J22" s="29" t="str">
        <f>IFERROR(IF(G22="","",(F22+I$21/COUNT(G$21:G$22))*G22),F22*G22)</f>
        <v/>
      </c>
      <c r="K22" s="148"/>
      <c r="L22" s="148"/>
      <c r="M22" s="145"/>
      <c r="N22" s="162"/>
      <c r="O22" s="166"/>
      <c r="P22" s="148"/>
      <c r="Q22" s="151"/>
    </row>
    <row r="23" spans="1:17" ht="30" x14ac:dyDescent="0.25">
      <c r="A23" s="154"/>
      <c r="B23" s="157"/>
      <c r="C23" s="6" t="s">
        <v>13</v>
      </c>
      <c r="D23" s="54">
        <v>0.02</v>
      </c>
      <c r="E23" s="4" t="s">
        <v>43</v>
      </c>
      <c r="F23" s="18">
        <v>0.02</v>
      </c>
      <c r="G23" s="23" t="str">
        <f>IF(COUNTIFS('ליקויים מהמערכת'!$G:$G,$B$1,'ליקויים מהמערכת'!$C:$C,REPLACE(E23,1,0,"ליקוי ל: "))=0,"",SUMIFS('ליקויים מהמערכת'!$H:$H,'ליקויים מהמערכת'!$G:$G,$B$1,'ליקויים מהמערכת'!$C:$C,REPLACE(E23,1,0,"ליקוי ל: "))/100)</f>
        <v/>
      </c>
      <c r="H23" s="20">
        <f t="shared" si="0"/>
        <v>0.02</v>
      </c>
      <c r="I23" s="20">
        <f>H23</f>
        <v>0.02</v>
      </c>
      <c r="J23" s="29" t="str">
        <f>IF(G23="","",F23*G23)</f>
        <v/>
      </c>
      <c r="K23" s="20">
        <f>H23</f>
        <v>0.02</v>
      </c>
      <c r="L23" s="148"/>
      <c r="M23" s="30" t="str">
        <f>IF(K23="",1,"")</f>
        <v/>
      </c>
      <c r="N23" s="29">
        <f>SUM(J23)/D23*L12+SUM(J23)</f>
        <v>0</v>
      </c>
      <c r="O23" s="166"/>
      <c r="P23" s="148"/>
      <c r="Q23" s="151"/>
    </row>
    <row r="24" spans="1:17" ht="15" x14ac:dyDescent="0.25">
      <c r="A24" s="154"/>
      <c r="B24" s="157"/>
      <c r="C24" s="6" t="s">
        <v>14</v>
      </c>
      <c r="D24" s="54">
        <v>0.02</v>
      </c>
      <c r="E24" s="4" t="s">
        <v>152</v>
      </c>
      <c r="F24" s="22">
        <v>0.02</v>
      </c>
      <c r="G24" s="23" t="str">
        <f>IF(COUNTIFS('ליקויים מהמערכת'!$G:$G,$B$1,'ליקויים מהמערכת'!$C:$C,REPLACE(E24,1,0,"ליקוי ל: "))=0,"",SUMIFS('ליקויים מהמערכת'!$H:$H,'ליקויים מהמערכת'!$G:$G,$B$1,'ליקויים מהמערכת'!$C:$C,REPLACE(E24,1,0,"ליקוי ל: "))/100)</f>
        <v/>
      </c>
      <c r="H24" s="20">
        <f t="shared" si="0"/>
        <v>0.02</v>
      </c>
      <c r="I24" s="20">
        <f>H24</f>
        <v>0.02</v>
      </c>
      <c r="J24" s="29" t="str">
        <f>IF(G24="","",F24*G24)</f>
        <v/>
      </c>
      <c r="K24" s="20">
        <f>H24</f>
        <v>0.02</v>
      </c>
      <c r="L24" s="148"/>
      <c r="M24" s="30" t="str">
        <f>IF(K24="",1,"")</f>
        <v/>
      </c>
      <c r="N24" s="29">
        <f>SUM(J24)/D24*L12+SUM(J24)</f>
        <v>0</v>
      </c>
      <c r="O24" s="166"/>
      <c r="P24" s="148"/>
      <c r="Q24" s="151"/>
    </row>
    <row r="25" spans="1:17" ht="15" x14ac:dyDescent="0.25">
      <c r="A25" s="154"/>
      <c r="B25" s="157"/>
      <c r="C25" s="171" t="s">
        <v>15</v>
      </c>
      <c r="D25" s="168">
        <v>0.03</v>
      </c>
      <c r="E25" s="5" t="s">
        <v>57</v>
      </c>
      <c r="F25" s="22">
        <v>0.02</v>
      </c>
      <c r="G25" s="23" t="str">
        <f>IF(COUNTIFS('ליקויים מהמערכת'!$G:$G,$B$1,'ליקויים מהמערכת'!$C:$C,REPLACE(E25,1,0,"ליקוי ל: "))=0,"",SUMIFS('ליקויים מהמערכת'!$H:$H,'ליקויים מהמערכת'!$G:$G,$B$1,'ליקויים מהמערכת'!$C:$C,REPLACE(E25,1,0,"ליקוי ל: "))/100)</f>
        <v/>
      </c>
      <c r="H25" s="20">
        <f t="shared" si="0"/>
        <v>0.02</v>
      </c>
      <c r="I25" s="148">
        <f>SUM(H25:H26)</f>
        <v>0.03</v>
      </c>
      <c r="J25" s="29" t="str">
        <f>IFERROR(IF(G25="","",(F25+I$25/COUNT(G$25:G$26))*G25),F25*G25)</f>
        <v/>
      </c>
      <c r="K25" s="148">
        <f>IF(COUNTBLANK(G25:G26)=COUNTA(F25:F26),D25,"")</f>
        <v>0.03</v>
      </c>
      <c r="L25" s="148"/>
      <c r="M25" s="145" t="str">
        <f>IF(K25="",1,"")</f>
        <v/>
      </c>
      <c r="N25" s="162">
        <f>SUM(J25:J26)/D25*L12+SUM(J25:J26)</f>
        <v>0</v>
      </c>
      <c r="O25" s="166"/>
      <c r="P25" s="148"/>
      <c r="Q25" s="151"/>
    </row>
    <row r="26" spans="1:17" ht="30" x14ac:dyDescent="0.25">
      <c r="A26" s="154"/>
      <c r="B26" s="157"/>
      <c r="C26" s="171"/>
      <c r="D26" s="168"/>
      <c r="E26" s="5" t="s">
        <v>58</v>
      </c>
      <c r="F26" s="22">
        <v>0.01</v>
      </c>
      <c r="G26" s="23" t="str">
        <f>IF(COUNTIFS('ליקויים מהמערכת'!$G:$G,$B$1,'ליקויים מהמערכת'!$C:$C,REPLACE(E26,1,0,"ליקוי ל: "))=0,"",SUMIFS('ליקויים מהמערכת'!$H:$H,'ליקויים מהמערכת'!$G:$G,$B$1,'ליקויים מהמערכת'!$C:$C,REPLACE(E26,1,0,"ליקוי ל: "))/100)</f>
        <v/>
      </c>
      <c r="H26" s="20">
        <f t="shared" si="0"/>
        <v>0.01</v>
      </c>
      <c r="I26" s="148"/>
      <c r="J26" s="29" t="str">
        <f>IFERROR(IF(G26="","",(F26+I$25/COUNT(G$25:G$26))*G26),F26*G26)</f>
        <v/>
      </c>
      <c r="K26" s="148"/>
      <c r="L26" s="148"/>
      <c r="M26" s="145"/>
      <c r="N26" s="162"/>
      <c r="O26" s="166"/>
      <c r="P26" s="148"/>
      <c r="Q26" s="151"/>
    </row>
    <row r="27" spans="1:17" ht="15" x14ac:dyDescent="0.25">
      <c r="A27" s="154"/>
      <c r="B27" s="157"/>
      <c r="C27" s="160" t="s">
        <v>16</v>
      </c>
      <c r="D27" s="157">
        <v>0.03</v>
      </c>
      <c r="E27" s="5" t="s">
        <v>59</v>
      </c>
      <c r="F27" s="22">
        <v>0.01</v>
      </c>
      <c r="G27" s="23" t="str">
        <f>IF(COUNTIFS('ליקויים מהמערכת'!$G:$G,$B$1,'ליקויים מהמערכת'!$C:$C,REPLACE(E27,1,0,"ליקוי ל: "))=0,"",SUMIFS('ליקויים מהמערכת'!$H:$H,'ליקויים מהמערכת'!$G:$G,$B$1,'ליקויים מהמערכת'!$C:$C,REPLACE(E27,1,0,"ליקוי ל: "))/100)</f>
        <v/>
      </c>
      <c r="H27" s="20">
        <f t="shared" si="0"/>
        <v>0.01</v>
      </c>
      <c r="I27" s="148">
        <f>SUM(H27:H29)</f>
        <v>0.03</v>
      </c>
      <c r="J27" s="29" t="str">
        <f>IFERROR(IF(G27="","",(F27+I$27/COUNT(G$27:G$29))*G27),F27*G27)</f>
        <v/>
      </c>
      <c r="K27" s="148">
        <f>IF(COUNTBLANK(G27:G29)=COUNTA(F27:F29),D27,"")</f>
        <v>0.03</v>
      </c>
      <c r="L27" s="148"/>
      <c r="M27" s="145" t="str">
        <f>IF(K27="",1,"")</f>
        <v/>
      </c>
      <c r="N27" s="162">
        <f>SUM(J27:J29)/D27*L12+SUM(J27:J29)</f>
        <v>0</v>
      </c>
      <c r="O27" s="166"/>
      <c r="P27" s="148"/>
      <c r="Q27" s="151"/>
    </row>
    <row r="28" spans="1:17" ht="15" x14ac:dyDescent="0.25">
      <c r="A28" s="154"/>
      <c r="B28" s="157"/>
      <c r="C28" s="160"/>
      <c r="D28" s="157"/>
      <c r="E28" s="5" t="s">
        <v>60</v>
      </c>
      <c r="F28" s="22">
        <v>0.01</v>
      </c>
      <c r="G28" s="23" t="str">
        <f>IF(COUNTIFS('ליקויים מהמערכת'!$G:$G,$B$1,'ליקויים מהמערכת'!$C:$C,REPLACE(E28,1,0,"ליקוי ל: "))=0,"",SUMIFS('ליקויים מהמערכת'!$H:$H,'ליקויים מהמערכת'!$G:$G,$B$1,'ליקויים מהמערכת'!$C:$C,REPLACE(E28,1,0,"ליקוי ל: "))/100)</f>
        <v/>
      </c>
      <c r="H28" s="20">
        <f t="shared" si="0"/>
        <v>0.01</v>
      </c>
      <c r="I28" s="148"/>
      <c r="J28" s="29" t="str">
        <f>IFERROR(IF(G28="","",(F28+I$27/COUNT(G$27:G$29))*G28),F28*G28)</f>
        <v/>
      </c>
      <c r="K28" s="148"/>
      <c r="L28" s="148"/>
      <c r="M28" s="145"/>
      <c r="N28" s="162"/>
      <c r="O28" s="166"/>
      <c r="P28" s="148"/>
      <c r="Q28" s="151"/>
    </row>
    <row r="29" spans="1:17" ht="15.75" thickBot="1" x14ac:dyDescent="0.3">
      <c r="A29" s="155"/>
      <c r="B29" s="158"/>
      <c r="C29" s="161"/>
      <c r="D29" s="158"/>
      <c r="E29" s="8" t="s">
        <v>44</v>
      </c>
      <c r="F29" s="24">
        <v>0.01</v>
      </c>
      <c r="G29" s="31" t="str">
        <f>IF(COUNTIFS('ליקויים מהמערכת'!$G:$G,$B$1,'ליקויים מהמערכת'!$C:$C,REPLACE(E29,1,0,"ליקוי ל: "))=0,"",SUMIFS('ליקויים מהמערכת'!$H:$H,'ליקויים מהמערכת'!$G:$G,$B$1,'ליקויים מהמערכת'!$C:$C,REPLACE(E29,1,0,"ליקוי ל: "))/100)</f>
        <v/>
      </c>
      <c r="H29" s="26">
        <f t="shared" si="0"/>
        <v>0.01</v>
      </c>
      <c r="I29" s="149"/>
      <c r="J29" s="32" t="str">
        <f>IFERROR(IF(G29="","",(F29+I$27/COUNT(G$27:G$29))*G29),F29*G29)</f>
        <v/>
      </c>
      <c r="K29" s="149"/>
      <c r="L29" s="149"/>
      <c r="M29" s="146"/>
      <c r="N29" s="163"/>
      <c r="O29" s="167"/>
      <c r="P29" s="149"/>
      <c r="Q29" s="152"/>
    </row>
    <row r="30" spans="1:17" ht="30" x14ac:dyDescent="0.25">
      <c r="A30" s="153" t="s">
        <v>2</v>
      </c>
      <c r="B30" s="156">
        <v>0.08</v>
      </c>
      <c r="C30" s="42" t="s">
        <v>17</v>
      </c>
      <c r="D30" s="55">
        <v>0.02</v>
      </c>
      <c r="E30" s="9" t="s">
        <v>61</v>
      </c>
      <c r="F30" s="33">
        <v>0.02</v>
      </c>
      <c r="G30" s="34" t="str">
        <f>IF(COUNTIFS('ליקויים מהמערכת'!$G:$G,$B$1,'ליקויים מהמערכת'!$C:$C,REPLACE(E30,1,0,"ליקוי ל: "))=0,"",SUMIFS('ליקויים מהמערכת'!$H:$H,'ליקויים מהמערכת'!$G:$G,$B$1,'ליקויים מהמערכת'!$C:$C,REPLACE(E30,1,0,"ליקוי ל: "))/100)</f>
        <v/>
      </c>
      <c r="H30" s="16">
        <f t="shared" si="0"/>
        <v>0.02</v>
      </c>
      <c r="I30" s="16">
        <f t="shared" ref="I30:I48" si="2">H30</f>
        <v>0.02</v>
      </c>
      <c r="J30" s="28" t="str">
        <f t="shared" ref="J30:J48" si="3">IF(G30="","",F30*G30)</f>
        <v/>
      </c>
      <c r="K30" s="16">
        <f t="shared" ref="K30:K48" si="4">H30</f>
        <v>0.02</v>
      </c>
      <c r="L30" s="147">
        <f>IFERROR(SUM(K30:K33)/SUM(M30:M33),0)</f>
        <v>0.02</v>
      </c>
      <c r="M30" s="35" t="str">
        <f t="shared" ref="M30:M48" si="5">IF(K30="",1,"")</f>
        <v/>
      </c>
      <c r="N30" s="28">
        <f>SUM(J30)/D30*L30+SUM(J30)</f>
        <v>0</v>
      </c>
      <c r="O30" s="144">
        <f>IF(L30&gt;0,1,IF(SUM(M30:M33)=4,1,""))</f>
        <v>1</v>
      </c>
      <c r="P30" s="144" t="str">
        <f>IF(O30="",B30,"")</f>
        <v/>
      </c>
      <c r="Q30" s="150">
        <f>SUM(P4:P48)/SUM(O4:O48)*(SUM(N30:N33)/B30)+SUM(N30:N33)</f>
        <v>5.1000000000000004E-2</v>
      </c>
    </row>
    <row r="31" spans="1:17" ht="30" x14ac:dyDescent="0.25">
      <c r="A31" s="154"/>
      <c r="B31" s="157"/>
      <c r="C31" s="43" t="s">
        <v>18</v>
      </c>
      <c r="D31" s="56">
        <v>0.02</v>
      </c>
      <c r="E31" s="5" t="s">
        <v>62</v>
      </c>
      <c r="F31" s="22">
        <v>0.02</v>
      </c>
      <c r="G31" s="23" t="str">
        <f>IF(COUNTIFS('ליקויים מהמערכת'!$G:$G,$B$1,'ליקויים מהמערכת'!$C:$C,REPLACE(E31,1,0,"ליקוי ל: "))=0,"",SUMIFS('ליקויים מהמערכת'!$H:$H,'ליקויים מהמערכת'!$G:$G,$B$1,'ליקויים מהמערכת'!$C:$C,REPLACE(E31,1,0,"ליקוי ל: "))/100)</f>
        <v/>
      </c>
      <c r="H31" s="20">
        <f t="shared" si="0"/>
        <v>0.02</v>
      </c>
      <c r="I31" s="20">
        <f t="shared" si="2"/>
        <v>0.02</v>
      </c>
      <c r="J31" s="29" t="str">
        <f t="shared" si="3"/>
        <v/>
      </c>
      <c r="K31" s="20">
        <f t="shared" si="4"/>
        <v>0.02</v>
      </c>
      <c r="L31" s="148"/>
      <c r="M31" s="30" t="str">
        <f t="shared" si="5"/>
        <v/>
      </c>
      <c r="N31" s="29">
        <f>SUM(J31)/D31*L30+SUM(J31)</f>
        <v>0</v>
      </c>
      <c r="O31" s="145"/>
      <c r="P31" s="145"/>
      <c r="Q31" s="151"/>
    </row>
    <row r="32" spans="1:17" ht="30" x14ac:dyDescent="0.25">
      <c r="A32" s="154"/>
      <c r="B32" s="157"/>
      <c r="C32" s="43" t="s">
        <v>19</v>
      </c>
      <c r="D32" s="56">
        <v>0.02</v>
      </c>
      <c r="E32" s="5" t="s">
        <v>63</v>
      </c>
      <c r="F32" s="22">
        <v>0.02</v>
      </c>
      <c r="G32" s="23">
        <f>IF(COUNTIFS('ליקויים מהמערכת'!$G:$G,$B$1,'ליקויים מהמערכת'!$C:$C,REPLACE(E32,1,0,"ליקוי ל: "))=0,"",SUMIFS('ליקויים מהמערכת'!$H:$H,'ליקויים מהמערכת'!$G:$G,$B$1,'ליקויים מהמערכת'!$C:$C,REPLACE(E32,1,0,"ליקוי ל: "))/100)</f>
        <v>0</v>
      </c>
      <c r="H32" s="20" t="str">
        <f t="shared" si="0"/>
        <v/>
      </c>
      <c r="I32" s="20" t="str">
        <f t="shared" si="2"/>
        <v/>
      </c>
      <c r="J32" s="21">
        <f t="shared" si="3"/>
        <v>0</v>
      </c>
      <c r="K32" s="20" t="str">
        <f t="shared" si="4"/>
        <v/>
      </c>
      <c r="L32" s="148"/>
      <c r="M32" s="30">
        <f t="shared" si="5"/>
        <v>1</v>
      </c>
      <c r="N32" s="21">
        <f>SUM(J32)/D32*L30+SUM(J32)</f>
        <v>0</v>
      </c>
      <c r="O32" s="145"/>
      <c r="P32" s="145"/>
      <c r="Q32" s="151"/>
    </row>
    <row r="33" spans="1:17" ht="15.75" thickBot="1" x14ac:dyDescent="0.3">
      <c r="A33" s="155"/>
      <c r="B33" s="158"/>
      <c r="C33" s="44" t="s">
        <v>20</v>
      </c>
      <c r="D33" s="57">
        <v>0.02</v>
      </c>
      <c r="E33" s="8" t="s">
        <v>151</v>
      </c>
      <c r="F33" s="36">
        <v>0.02</v>
      </c>
      <c r="G33" s="31">
        <f>IF(COUNTIFS('ליקויים מהמערכת'!$G:$G,$B$1,'ליקויים מהמערכת'!$C:$C,REPLACE(E33,1,0,"ליקוי ל: "))=0,"",SUMIFS('ליקויים מהמערכת'!$H:$H,'ליקויים מהמערכת'!$G:$G,$B$1,'ליקויים מהמערכת'!$C:$C,REPLACE(E33,1,0,"ליקוי ל: "))/100)</f>
        <v>1</v>
      </c>
      <c r="H33" s="26" t="str">
        <f t="shared" si="0"/>
        <v/>
      </c>
      <c r="I33" s="26" t="str">
        <f t="shared" si="2"/>
        <v/>
      </c>
      <c r="J33" s="32">
        <f t="shared" si="3"/>
        <v>0.02</v>
      </c>
      <c r="K33" s="26" t="str">
        <f t="shared" si="4"/>
        <v/>
      </c>
      <c r="L33" s="149"/>
      <c r="M33" s="37">
        <f t="shared" si="5"/>
        <v>1</v>
      </c>
      <c r="N33" s="32">
        <f>SUM(J33)/D33*L30+SUM(J33)</f>
        <v>0.04</v>
      </c>
      <c r="O33" s="146"/>
      <c r="P33" s="146"/>
      <c r="Q33" s="152"/>
    </row>
    <row r="34" spans="1:17" ht="30" x14ac:dyDescent="0.25">
      <c r="A34" s="153" t="s">
        <v>3</v>
      </c>
      <c r="B34" s="156">
        <v>7.0000000000000007E-2</v>
      </c>
      <c r="C34" s="42" t="s">
        <v>21</v>
      </c>
      <c r="D34" s="55">
        <v>0.02</v>
      </c>
      <c r="E34" s="7" t="s">
        <v>150</v>
      </c>
      <c r="F34" s="33">
        <v>0.02</v>
      </c>
      <c r="G34" s="34" t="str">
        <f>IF(COUNTIFS('ליקויים מהמערכת'!$G:$G,$B$1,'ליקויים מהמערכת'!$C:$C,REPLACE(E34,1,0,"ליקוי ל: "))=0,"",SUMIFS('ליקויים מהמערכת'!$H:$H,'ליקויים מהמערכת'!$G:$G,$B$1,'ליקויים מהמערכת'!$C:$C,REPLACE(E34,1,0,"ליקוי ל: "))/100)</f>
        <v/>
      </c>
      <c r="H34" s="16">
        <f t="shared" si="0"/>
        <v>0.02</v>
      </c>
      <c r="I34" s="16">
        <f t="shared" si="2"/>
        <v>0.02</v>
      </c>
      <c r="J34" s="28" t="str">
        <f t="shared" si="3"/>
        <v/>
      </c>
      <c r="K34" s="16">
        <f t="shared" si="4"/>
        <v>0.02</v>
      </c>
      <c r="L34" s="147">
        <f>IFERROR(SUM(K34:K38)/SUM(M34:M38),0)</f>
        <v>0</v>
      </c>
      <c r="M34" s="35" t="str">
        <f t="shared" si="5"/>
        <v/>
      </c>
      <c r="N34" s="28">
        <f>SUM(J34)/D34*L34+SUM(J34)</f>
        <v>0</v>
      </c>
      <c r="O34" s="144" t="str">
        <f>IF(L34&gt;0,1,IF(SUM(M34:M38)=5,1,""))</f>
        <v/>
      </c>
      <c r="P34" s="144">
        <f>IF(O34="",B34,"")</f>
        <v>7.0000000000000007E-2</v>
      </c>
      <c r="Q34" s="150">
        <f>SUM(P4:P48)/SUM(O4:O48)*(SUM(N34:N38)/B34)+SUM(N34:N38)</f>
        <v>0</v>
      </c>
    </row>
    <row r="35" spans="1:17" ht="30" x14ac:dyDescent="0.25">
      <c r="A35" s="154"/>
      <c r="B35" s="157"/>
      <c r="C35" s="43" t="s">
        <v>22</v>
      </c>
      <c r="D35" s="56">
        <v>0.02</v>
      </c>
      <c r="E35" s="4" t="s">
        <v>145</v>
      </c>
      <c r="F35" s="22">
        <v>0.02</v>
      </c>
      <c r="G35" s="23" t="str">
        <f>IF(COUNTIFS('ליקויים מהמערכת'!$G:$G,$B$1,'ליקויים מהמערכת'!$C:$C,REPLACE(E35,1,0,"ליקוי ל: "))=0,"",SUMIFS('ליקויים מהמערכת'!$H:$H,'ליקויים מהמערכת'!$G:$G,$B$1,'ליקויים מהמערכת'!$C:$C,REPLACE(E35,1,0,"ליקוי ל: "))/100)</f>
        <v/>
      </c>
      <c r="H35" s="20">
        <f t="shared" si="0"/>
        <v>0.02</v>
      </c>
      <c r="I35" s="20">
        <f t="shared" si="2"/>
        <v>0.02</v>
      </c>
      <c r="J35" s="29" t="str">
        <f t="shared" si="3"/>
        <v/>
      </c>
      <c r="K35" s="20">
        <f t="shared" si="4"/>
        <v>0.02</v>
      </c>
      <c r="L35" s="148"/>
      <c r="M35" s="30" t="str">
        <f t="shared" si="5"/>
        <v/>
      </c>
      <c r="N35" s="29">
        <f>SUM(J35)/D35*L34+SUM(J35)</f>
        <v>0</v>
      </c>
      <c r="O35" s="145"/>
      <c r="P35" s="145"/>
      <c r="Q35" s="151"/>
    </row>
    <row r="36" spans="1:17" ht="15" x14ac:dyDescent="0.25">
      <c r="A36" s="154"/>
      <c r="B36" s="157"/>
      <c r="C36" s="43" t="s">
        <v>23</v>
      </c>
      <c r="D36" s="56">
        <v>0.01</v>
      </c>
      <c r="E36" s="5" t="s">
        <v>64</v>
      </c>
      <c r="F36" s="22">
        <v>0.01</v>
      </c>
      <c r="G36" s="23" t="str">
        <f>IF(COUNTIFS('ליקויים מהמערכת'!$G:$G,$B$1,'ליקויים מהמערכת'!$C:$C,REPLACE(E36,1,0,"ליקוי ל: "))=0,"",SUMIFS('ליקויים מהמערכת'!$H:$H,'ליקויים מהמערכת'!$G:$G,$B$1,'ליקויים מהמערכת'!$C:$C,REPLACE(E36,1,0,"ליקוי ל: "))/100)</f>
        <v/>
      </c>
      <c r="H36" s="20">
        <f t="shared" si="0"/>
        <v>0.01</v>
      </c>
      <c r="I36" s="20">
        <f t="shared" si="2"/>
        <v>0.01</v>
      </c>
      <c r="J36" s="29" t="str">
        <f t="shared" si="3"/>
        <v/>
      </c>
      <c r="K36" s="20">
        <f t="shared" si="4"/>
        <v>0.01</v>
      </c>
      <c r="L36" s="148"/>
      <c r="M36" s="30" t="str">
        <f t="shared" si="5"/>
        <v/>
      </c>
      <c r="N36" s="29">
        <f>SUM(J36)/D36*L34+SUM(J36)</f>
        <v>0</v>
      </c>
      <c r="O36" s="145"/>
      <c r="P36" s="145"/>
      <c r="Q36" s="151"/>
    </row>
    <row r="37" spans="1:17" ht="15" x14ac:dyDescent="0.25">
      <c r="A37" s="154"/>
      <c r="B37" s="157"/>
      <c r="C37" s="43" t="s">
        <v>24</v>
      </c>
      <c r="D37" s="56">
        <v>0.01</v>
      </c>
      <c r="E37" s="4" t="s">
        <v>146</v>
      </c>
      <c r="F37" s="22">
        <v>0.01</v>
      </c>
      <c r="G37" s="23" t="str">
        <f>IF(COUNTIFS('ליקויים מהמערכת'!$G:$G,$B$1,'ליקויים מהמערכת'!$C:$C,REPLACE(E37,1,0,"ליקוי ל: "))=0,"",SUMIFS('ליקויים מהמערכת'!$H:$H,'ליקויים מהמערכת'!$G:$G,$B$1,'ליקויים מהמערכת'!$C:$C,REPLACE(E37,1,0,"ליקוי ל: "))/100)</f>
        <v/>
      </c>
      <c r="H37" s="20">
        <f t="shared" si="0"/>
        <v>0.01</v>
      </c>
      <c r="I37" s="20">
        <f t="shared" si="2"/>
        <v>0.01</v>
      </c>
      <c r="J37" s="29" t="str">
        <f t="shared" si="3"/>
        <v/>
      </c>
      <c r="K37" s="20">
        <f t="shared" si="4"/>
        <v>0.01</v>
      </c>
      <c r="L37" s="148"/>
      <c r="M37" s="30" t="str">
        <f t="shared" si="5"/>
        <v/>
      </c>
      <c r="N37" s="29">
        <f>SUM(J37)/D37*L34+SUM(J37)</f>
        <v>0</v>
      </c>
      <c r="O37" s="145"/>
      <c r="P37" s="145"/>
      <c r="Q37" s="151"/>
    </row>
    <row r="38" spans="1:17" ht="15.75" thickBot="1" x14ac:dyDescent="0.3">
      <c r="A38" s="155"/>
      <c r="B38" s="158"/>
      <c r="C38" s="44" t="s">
        <v>25</v>
      </c>
      <c r="D38" s="57">
        <v>0.01</v>
      </c>
      <c r="E38" s="8" t="s">
        <v>147</v>
      </c>
      <c r="F38" s="36">
        <v>0.01</v>
      </c>
      <c r="G38" s="31" t="str">
        <f>IF(COUNTIFS('ליקויים מהמערכת'!$G:$G,$B$1,'ליקויים מהמערכת'!$C:$C,REPLACE(E38,1,0,"ליקוי ל: "))=0,"",SUMIFS('ליקויים מהמערכת'!$H:$H,'ליקויים מהמערכת'!$G:$G,$B$1,'ליקויים מהמערכת'!$C:$C,REPLACE(E38,1,0,"ליקוי ל: "))/100)</f>
        <v/>
      </c>
      <c r="H38" s="26">
        <f t="shared" si="0"/>
        <v>0.01</v>
      </c>
      <c r="I38" s="26">
        <f t="shared" si="2"/>
        <v>0.01</v>
      </c>
      <c r="J38" s="32" t="str">
        <f t="shared" si="3"/>
        <v/>
      </c>
      <c r="K38" s="26">
        <f t="shared" si="4"/>
        <v>0.01</v>
      </c>
      <c r="L38" s="149"/>
      <c r="M38" s="37" t="str">
        <f t="shared" si="5"/>
        <v/>
      </c>
      <c r="N38" s="32">
        <f>SUM(J38)/D38*L34+SUM(J38)</f>
        <v>0</v>
      </c>
      <c r="O38" s="146"/>
      <c r="P38" s="146"/>
      <c r="Q38" s="152"/>
    </row>
    <row r="39" spans="1:17" ht="15" x14ac:dyDescent="0.25">
      <c r="A39" s="153" t="s">
        <v>4</v>
      </c>
      <c r="B39" s="156">
        <v>0.05</v>
      </c>
      <c r="C39" s="45" t="s">
        <v>26</v>
      </c>
      <c r="D39" s="58">
        <v>0.03</v>
      </c>
      <c r="E39" s="7" t="s">
        <v>148</v>
      </c>
      <c r="F39" s="33">
        <v>0.03</v>
      </c>
      <c r="G39" s="34">
        <f>IF(COUNTIFS('ליקויים מהמערכת'!$G:$G,$B$1,'ליקויים מהמערכת'!$C:$C,REPLACE(E39,1,0,"ליקוי ל: "))=0,"",SUMIFS('ליקויים מהמערכת'!$H:$H,'ליקויים מהמערכת'!$G:$G,$B$1,'ליקויים מהמערכת'!$C:$C,REPLACE(E39,1,0,"ליקוי ל: "))/100)</f>
        <v>0</v>
      </c>
      <c r="H39" s="16" t="str">
        <f t="shared" si="0"/>
        <v/>
      </c>
      <c r="I39" s="16" t="str">
        <f t="shared" si="2"/>
        <v/>
      </c>
      <c r="J39" s="28">
        <f t="shared" si="3"/>
        <v>0</v>
      </c>
      <c r="K39" s="16" t="str">
        <f t="shared" si="4"/>
        <v/>
      </c>
      <c r="L39" s="147">
        <f>IFERROR(SUM(K39:K41)/SUM(M39:M41),0)</f>
        <v>0.02</v>
      </c>
      <c r="M39" s="35">
        <f t="shared" si="5"/>
        <v>1</v>
      </c>
      <c r="N39" s="28">
        <f>SUM(J39)/D39*L39+SUM(J39)</f>
        <v>0</v>
      </c>
      <c r="O39" s="144">
        <f>IF(L39&gt;0,1,IF(SUM(M39:M41)=3,1,""))</f>
        <v>1</v>
      </c>
      <c r="P39" s="144" t="str">
        <f>IF(O39="",B39,"")</f>
        <v/>
      </c>
      <c r="Q39" s="150">
        <f>SUM(P4:P48)/SUM(O4:O48)*(SUM(N39:N41)/B39)+SUM(N39:N41)</f>
        <v>0</v>
      </c>
    </row>
    <row r="40" spans="1:17" ht="15" x14ac:dyDescent="0.25">
      <c r="A40" s="154"/>
      <c r="B40" s="157"/>
      <c r="C40" s="46" t="s">
        <v>27</v>
      </c>
      <c r="D40" s="59">
        <v>0.01</v>
      </c>
      <c r="E40" s="4" t="s">
        <v>162</v>
      </c>
      <c r="F40" s="22">
        <v>0.01</v>
      </c>
      <c r="G40" s="23" t="str">
        <f>IF(COUNTIFS('ליקויים מהמערכת'!$G:$G,$B$1,'ליקויים מהמערכת'!$C:$C,REPLACE(E40,1,0,"ליקוי ל: "))=0,"",SUMIFS('ליקויים מהמערכת'!$H:$H,'ליקויים מהמערכת'!$G:$G,$B$1,'ליקויים מהמערכת'!$C:$C,REPLACE(E40,1,0,"ליקוי ל: "))/100)</f>
        <v/>
      </c>
      <c r="H40" s="20">
        <f t="shared" si="0"/>
        <v>0.01</v>
      </c>
      <c r="I40" s="20">
        <f t="shared" si="2"/>
        <v>0.01</v>
      </c>
      <c r="J40" s="29" t="str">
        <f t="shared" si="3"/>
        <v/>
      </c>
      <c r="K40" s="20">
        <f t="shared" si="4"/>
        <v>0.01</v>
      </c>
      <c r="L40" s="148"/>
      <c r="M40" s="30" t="str">
        <f t="shared" si="5"/>
        <v/>
      </c>
      <c r="N40" s="29">
        <f>SUM(J40)/D40*L39+SUM(J40)</f>
        <v>0</v>
      </c>
      <c r="O40" s="145"/>
      <c r="P40" s="145"/>
      <c r="Q40" s="151"/>
    </row>
    <row r="41" spans="1:17" ht="15.75" thickBot="1" x14ac:dyDescent="0.3">
      <c r="A41" s="155"/>
      <c r="B41" s="158"/>
      <c r="C41" s="47" t="s">
        <v>28</v>
      </c>
      <c r="D41" s="60">
        <v>0.01</v>
      </c>
      <c r="E41" s="8" t="s">
        <v>161</v>
      </c>
      <c r="F41" s="36">
        <v>0.01</v>
      </c>
      <c r="G41" s="31" t="str">
        <f>IF(COUNTIFS('ליקויים מהמערכת'!$G:$G,$B$1,'ליקויים מהמערכת'!$C:$C,REPLACE(E41,1,0,"ליקוי ל: "))=0,"",SUMIFS('ליקויים מהמערכת'!$H:$H,'ליקויים מהמערכת'!$G:$G,$B$1,'ליקויים מהמערכת'!$C:$C,REPLACE(E41,1,0,"ליקוי ל: "))/100)</f>
        <v/>
      </c>
      <c r="H41" s="26">
        <f t="shared" si="0"/>
        <v>0.01</v>
      </c>
      <c r="I41" s="26">
        <f t="shared" si="2"/>
        <v>0.01</v>
      </c>
      <c r="J41" s="32" t="str">
        <f t="shared" si="3"/>
        <v/>
      </c>
      <c r="K41" s="26">
        <f t="shared" si="4"/>
        <v>0.01</v>
      </c>
      <c r="L41" s="149"/>
      <c r="M41" s="37" t="str">
        <f t="shared" si="5"/>
        <v/>
      </c>
      <c r="N41" s="41">
        <f>SUM(J41)/D41*L39+SUM(J41)</f>
        <v>0</v>
      </c>
      <c r="O41" s="146"/>
      <c r="P41" s="146"/>
      <c r="Q41" s="152"/>
    </row>
    <row r="42" spans="1:17" ht="30" x14ac:dyDescent="0.25">
      <c r="A42" s="153" t="s">
        <v>5</v>
      </c>
      <c r="B42" s="156">
        <v>7.0000000000000007E-2</v>
      </c>
      <c r="C42" s="45" t="s">
        <v>29</v>
      </c>
      <c r="D42" s="58">
        <v>0.02</v>
      </c>
      <c r="E42" s="9" t="s">
        <v>65</v>
      </c>
      <c r="F42" s="33">
        <v>0.02</v>
      </c>
      <c r="G42" s="34">
        <f>IF(COUNTIFS('ליקויים מהמערכת'!$G:$G,$B$1,'ליקויים מהמערכת'!$C:$C,REPLACE(E42,1,0,"ליקוי ל: "))=0,"",SUMIFS('ליקויים מהמערכת'!$H:$H,'ליקויים מהמערכת'!$G:$G,$B$1,'ליקויים מהמערכת'!$C:$C,REPLACE(E42,1,0,"ליקוי ל: "))/100)</f>
        <v>0.5</v>
      </c>
      <c r="H42" s="16" t="str">
        <f t="shared" si="0"/>
        <v/>
      </c>
      <c r="I42" s="16" t="str">
        <f t="shared" si="2"/>
        <v/>
      </c>
      <c r="J42" s="28">
        <f t="shared" si="3"/>
        <v>0.01</v>
      </c>
      <c r="K42" s="16" t="str">
        <f t="shared" si="4"/>
        <v/>
      </c>
      <c r="L42" s="147">
        <f>IFERROR(SUM(K42:K45)/SUM(M42:M45),0)</f>
        <v>3.3333333333333335E-3</v>
      </c>
      <c r="M42" s="35">
        <f t="shared" si="5"/>
        <v>1</v>
      </c>
      <c r="N42" s="28">
        <f>SUM(J42)/D42*L42+SUM(J42)</f>
        <v>1.1666666666666667E-2</v>
      </c>
      <c r="O42" s="144">
        <f>IF(L42&gt;0,1,IF(SUM(M42:M45)=4,1,""))</f>
        <v>1</v>
      </c>
      <c r="P42" s="147" t="str">
        <f>IF(O42="",B42,"")</f>
        <v/>
      </c>
      <c r="Q42" s="150">
        <f>SUM(P4:P48)/SUM(O4:O48)*(SUM(N42:N45)/B42)+SUM(N42:N45)</f>
        <v>1.5333333333333334E-2</v>
      </c>
    </row>
    <row r="43" spans="1:17" ht="30" x14ac:dyDescent="0.25">
      <c r="A43" s="154"/>
      <c r="B43" s="157"/>
      <c r="C43" s="46" t="s">
        <v>30</v>
      </c>
      <c r="D43" s="59">
        <v>0.02</v>
      </c>
      <c r="E43" s="5" t="s">
        <v>66</v>
      </c>
      <c r="F43" s="22">
        <v>0.02</v>
      </c>
      <c r="G43" s="23">
        <f>IF(COUNTIFS('ליקויים מהמערכת'!$G:$G,$B$1,'ליקויים מהמערכת'!$C:$C,REPLACE(E43,1,0,"ליקוי ל: "))=0,"",SUMIFS('ליקויים מהמערכת'!$H:$H,'ליקויים מהמערכת'!$G:$G,$B$1,'ליקויים מהמערכת'!$C:$C,REPLACE(E43,1,0,"ליקוי ל: "))/100)</f>
        <v>0</v>
      </c>
      <c r="H43" s="20" t="str">
        <f t="shared" si="0"/>
        <v/>
      </c>
      <c r="I43" s="20" t="str">
        <f t="shared" si="2"/>
        <v/>
      </c>
      <c r="J43" s="29">
        <f t="shared" si="3"/>
        <v>0</v>
      </c>
      <c r="K43" s="20" t="str">
        <f t="shared" si="4"/>
        <v/>
      </c>
      <c r="L43" s="148"/>
      <c r="M43" s="30">
        <f t="shared" si="5"/>
        <v>1</v>
      </c>
      <c r="N43" s="29">
        <f>SUM(J43)/D43*L42+SUM(J43)</f>
        <v>0</v>
      </c>
      <c r="O43" s="145"/>
      <c r="P43" s="148"/>
      <c r="Q43" s="151"/>
    </row>
    <row r="44" spans="1:17" ht="15" x14ac:dyDescent="0.25">
      <c r="A44" s="154"/>
      <c r="B44" s="157"/>
      <c r="C44" s="46" t="s">
        <v>31</v>
      </c>
      <c r="D44" s="59">
        <v>0.01</v>
      </c>
      <c r="E44" s="4" t="s">
        <v>154</v>
      </c>
      <c r="F44" s="22">
        <v>0.01</v>
      </c>
      <c r="G44" s="23" t="str">
        <f>IF(COUNTIFS('ליקויים מהמערכת'!$G:$G,$B$1,'ליקויים מהמערכת'!$C:$C,REPLACE(E44,1,0,"ליקוי ל: "))=0,"",SUMIFS('ליקויים מהמערכת'!$H:$H,'ליקויים מהמערכת'!$G:$G,$B$1,'ליקויים מהמערכת'!$C:$C,REPLACE(E44,1,0,"ליקוי ל: "))/100)</f>
        <v/>
      </c>
      <c r="H44" s="20">
        <f t="shared" si="0"/>
        <v>0.01</v>
      </c>
      <c r="I44" s="20">
        <f t="shared" si="2"/>
        <v>0.01</v>
      </c>
      <c r="J44" s="29" t="str">
        <f t="shared" si="3"/>
        <v/>
      </c>
      <c r="K44" s="20">
        <f t="shared" si="4"/>
        <v>0.01</v>
      </c>
      <c r="L44" s="148"/>
      <c r="M44" s="30" t="str">
        <f t="shared" si="5"/>
        <v/>
      </c>
      <c r="N44" s="29">
        <f>SUM(J44)/D44*L42+SUM(J44)</f>
        <v>0</v>
      </c>
      <c r="O44" s="145"/>
      <c r="P44" s="148"/>
      <c r="Q44" s="151"/>
    </row>
    <row r="45" spans="1:17" ht="15.75" thickBot="1" x14ac:dyDescent="0.3">
      <c r="A45" s="155"/>
      <c r="B45" s="158"/>
      <c r="C45" s="47" t="s">
        <v>32</v>
      </c>
      <c r="D45" s="60">
        <v>0.02</v>
      </c>
      <c r="E45" s="8" t="s">
        <v>153</v>
      </c>
      <c r="F45" s="36">
        <v>0.02</v>
      </c>
      <c r="G45" s="31">
        <f>IF(COUNTIFS('ליקויים מהמערכת'!$G:$G,$B$1,'ליקויים מהמערכת'!$C:$C,REPLACE(E45,1,0,"ליקוי ל: "))=0,"",SUMIFS('ליקויים מהמערכת'!$H:$H,'ליקויים מהמערכת'!$G:$G,$B$1,'ליקויים מהמערכת'!$C:$C,REPLACE(E45,1,0,"ליקוי ל: "))/100)</f>
        <v>0</v>
      </c>
      <c r="H45" s="26" t="str">
        <f t="shared" si="0"/>
        <v/>
      </c>
      <c r="I45" s="26" t="str">
        <f t="shared" si="2"/>
        <v/>
      </c>
      <c r="J45" s="32">
        <f t="shared" si="3"/>
        <v>0</v>
      </c>
      <c r="K45" s="26" t="str">
        <f t="shared" si="4"/>
        <v/>
      </c>
      <c r="L45" s="149"/>
      <c r="M45" s="37">
        <f t="shared" si="5"/>
        <v>1</v>
      </c>
      <c r="N45" s="32">
        <f>SUM(J45)/D45*L42+SUM(J45)</f>
        <v>0</v>
      </c>
      <c r="O45" s="146"/>
      <c r="P45" s="149"/>
      <c r="Q45" s="152"/>
    </row>
    <row r="46" spans="1:17" ht="15" x14ac:dyDescent="0.25">
      <c r="A46" s="153" t="s">
        <v>6</v>
      </c>
      <c r="B46" s="156">
        <v>0.04</v>
      </c>
      <c r="C46" s="159" t="s">
        <v>33</v>
      </c>
      <c r="D46" s="58">
        <v>0.02</v>
      </c>
      <c r="E46" s="9" t="s">
        <v>67</v>
      </c>
      <c r="F46" s="33">
        <v>0.02</v>
      </c>
      <c r="G46" s="34" t="str">
        <f>IF(COUNTIFS('ליקויים מהמערכת'!$G:$G,$B$1,'ליקויים מהמערכת'!$C:$C,REPLACE(E46,1,0,"ליקוי ל: "))=0,"",SUMIFS('ליקויים מהמערכת'!$H:$H,'ליקויים מהמערכת'!$G:$G,$B$1,'ליקויים מהמערכת'!$C:$C,REPLACE(E46,1,0,"ליקוי ל: "))/100)</f>
        <v/>
      </c>
      <c r="H46" s="16">
        <f t="shared" si="0"/>
        <v>0.02</v>
      </c>
      <c r="I46" s="16">
        <f t="shared" si="2"/>
        <v>0.02</v>
      </c>
      <c r="J46" s="28" t="str">
        <f t="shared" si="3"/>
        <v/>
      </c>
      <c r="K46" s="16">
        <f t="shared" si="4"/>
        <v>0.02</v>
      </c>
      <c r="L46" s="147">
        <f>IFERROR(SUM(K46:K48)/SUM(M46:M48),0)</f>
        <v>0</v>
      </c>
      <c r="M46" s="35" t="str">
        <f t="shared" si="5"/>
        <v/>
      </c>
      <c r="N46" s="28">
        <f>SUM(J46)/D46*L46+SUM(J46)</f>
        <v>0</v>
      </c>
      <c r="O46" s="144" t="str">
        <f>IF(L46&gt;0,1,IF(SUM(M46:M48)=3,1,""))</f>
        <v/>
      </c>
      <c r="P46" s="144">
        <f>IF(O46="",B46,"")</f>
        <v>0.04</v>
      </c>
      <c r="Q46" s="150">
        <f>SUM(P4:P48)/SUM(O4:O48)*(SUM(N46:N48)/B46)+SUM(N46:N48)</f>
        <v>0</v>
      </c>
    </row>
    <row r="47" spans="1:17" ht="15" x14ac:dyDescent="0.25">
      <c r="A47" s="154"/>
      <c r="B47" s="157"/>
      <c r="C47" s="160"/>
      <c r="D47" s="59">
        <v>0.01</v>
      </c>
      <c r="E47" s="5" t="s">
        <v>68</v>
      </c>
      <c r="F47" s="22">
        <v>0.01</v>
      </c>
      <c r="G47" s="23" t="str">
        <f>IF(COUNTIFS('ליקויים מהמערכת'!$G:$G,$B$1,'ליקויים מהמערכת'!$C:$C,REPLACE(E47,1,0,"ליקוי ל: "))=0,"",SUMIFS('ליקויים מהמערכת'!$H:$H,'ליקויים מהמערכת'!$G:$G,$B$1,'ליקויים מהמערכת'!$C:$C,REPLACE(E47,1,0,"ליקוי ל: "))/100)</f>
        <v/>
      </c>
      <c r="H47" s="20">
        <f t="shared" si="0"/>
        <v>0.01</v>
      </c>
      <c r="I47" s="20">
        <f t="shared" si="2"/>
        <v>0.01</v>
      </c>
      <c r="J47" s="29" t="str">
        <f t="shared" si="3"/>
        <v/>
      </c>
      <c r="K47" s="20">
        <f t="shared" si="4"/>
        <v>0.01</v>
      </c>
      <c r="L47" s="148"/>
      <c r="M47" s="30" t="str">
        <f t="shared" si="5"/>
        <v/>
      </c>
      <c r="N47" s="40">
        <f>SUM(J47)/D47*L46+SUM(J47)</f>
        <v>0</v>
      </c>
      <c r="O47" s="145"/>
      <c r="P47" s="145"/>
      <c r="Q47" s="151"/>
    </row>
    <row r="48" spans="1:17" ht="15" thickBot="1" x14ac:dyDescent="0.25">
      <c r="A48" s="155"/>
      <c r="B48" s="158"/>
      <c r="C48" s="161"/>
      <c r="D48" s="60">
        <v>0.01</v>
      </c>
      <c r="E48" s="10" t="s">
        <v>45</v>
      </c>
      <c r="F48" s="38">
        <v>0.01</v>
      </c>
      <c r="G48" s="39" t="str">
        <f>IF(COUNTIFS('ליקויים מהמערכת'!$G:$G,$B$1,'ליקויים מהמערכת'!$C:$C,REPLACE(E48,1,0,"ליקוי ל: "))=0,"",SUMIFS('ליקויים מהמערכת'!$H:$H,'ליקויים מהמערכת'!$G:$G,$B$1,'ליקויים מהמערכת'!$C:$C,REPLACE(E48,1,0,"ליקוי ל: "))/100)</f>
        <v/>
      </c>
      <c r="H48" s="26">
        <f t="shared" si="0"/>
        <v>0.01</v>
      </c>
      <c r="I48" s="26">
        <f t="shared" si="2"/>
        <v>0.01</v>
      </c>
      <c r="J48" s="32" t="str">
        <f t="shared" si="3"/>
        <v/>
      </c>
      <c r="K48" s="26">
        <f t="shared" si="4"/>
        <v>0.01</v>
      </c>
      <c r="L48" s="149"/>
      <c r="M48" s="37" t="str">
        <f t="shared" si="5"/>
        <v/>
      </c>
      <c r="N48" s="41">
        <f>SUM(J48)/D48*L46+SUM(J48)</f>
        <v>0</v>
      </c>
      <c r="O48" s="146"/>
      <c r="P48" s="146"/>
      <c r="Q48" s="152"/>
    </row>
    <row r="50" spans="7:7" x14ac:dyDescent="0.2">
      <c r="G50">
        <f>COUNT(G4:G48)</f>
        <v>11</v>
      </c>
    </row>
  </sheetData>
  <mergeCells count="91">
    <mergeCell ref="A4:A11"/>
    <mergeCell ref="B4:B11"/>
    <mergeCell ref="I4:I5"/>
    <mergeCell ref="K4:K5"/>
    <mergeCell ref="L4:L11"/>
    <mergeCell ref="C4:C5"/>
    <mergeCell ref="D4:D5"/>
    <mergeCell ref="C8:C9"/>
    <mergeCell ref="D8:D9"/>
    <mergeCell ref="I8:I9"/>
    <mergeCell ref="K8:K9"/>
    <mergeCell ref="C6:C7"/>
    <mergeCell ref="D6:D7"/>
    <mergeCell ref="I6:I7"/>
    <mergeCell ref="K6:K7"/>
    <mergeCell ref="C10:C11"/>
    <mergeCell ref="A12:A29"/>
    <mergeCell ref="B12:B29"/>
    <mergeCell ref="C12:C20"/>
    <mergeCell ref="D12:D20"/>
    <mergeCell ref="I12:I20"/>
    <mergeCell ref="C21:C22"/>
    <mergeCell ref="C25:C26"/>
    <mergeCell ref="M4:M5"/>
    <mergeCell ref="N4:N5"/>
    <mergeCell ref="O4:O11"/>
    <mergeCell ref="P4:P11"/>
    <mergeCell ref="Q4:Q11"/>
    <mergeCell ref="M6:M7"/>
    <mergeCell ref="N10:N11"/>
    <mergeCell ref="N6:N7"/>
    <mergeCell ref="M8:M9"/>
    <mergeCell ref="N8:N9"/>
    <mergeCell ref="D10:D11"/>
    <mergeCell ref="I10:I11"/>
    <mergeCell ref="K10:K11"/>
    <mergeCell ref="M10:M11"/>
    <mergeCell ref="N25:N26"/>
    <mergeCell ref="D21:D22"/>
    <mergeCell ref="I21:I22"/>
    <mergeCell ref="K21:K22"/>
    <mergeCell ref="M21:M22"/>
    <mergeCell ref="N21:N22"/>
    <mergeCell ref="D25:D26"/>
    <mergeCell ref="I25:I26"/>
    <mergeCell ref="K25:K26"/>
    <mergeCell ref="M25:M26"/>
    <mergeCell ref="K12:K20"/>
    <mergeCell ref="L12:L29"/>
    <mergeCell ref="Q30:Q33"/>
    <mergeCell ref="C27:C29"/>
    <mergeCell ref="D27:D29"/>
    <mergeCell ref="I27:I29"/>
    <mergeCell ref="K27:K29"/>
    <mergeCell ref="M27:M29"/>
    <mergeCell ref="N27:N29"/>
    <mergeCell ref="P12:P29"/>
    <mergeCell ref="Q12:Q29"/>
    <mergeCell ref="M12:M20"/>
    <mergeCell ref="N12:N20"/>
    <mergeCell ref="O12:O29"/>
    <mergeCell ref="A30:A33"/>
    <mergeCell ref="B30:B33"/>
    <mergeCell ref="L30:L33"/>
    <mergeCell ref="O30:O33"/>
    <mergeCell ref="P30:P33"/>
    <mergeCell ref="Q39:Q41"/>
    <mergeCell ref="A34:A38"/>
    <mergeCell ref="B34:B38"/>
    <mergeCell ref="L34:L38"/>
    <mergeCell ref="O34:O38"/>
    <mergeCell ref="P34:P38"/>
    <mergeCell ref="Q34:Q38"/>
    <mergeCell ref="A39:A41"/>
    <mergeCell ref="B39:B41"/>
    <mergeCell ref="L39:L41"/>
    <mergeCell ref="O39:O41"/>
    <mergeCell ref="P39:P41"/>
    <mergeCell ref="O42:O45"/>
    <mergeCell ref="P42:P45"/>
    <mergeCell ref="Q46:Q48"/>
    <mergeCell ref="A46:A48"/>
    <mergeCell ref="B46:B48"/>
    <mergeCell ref="C46:C48"/>
    <mergeCell ref="L46:L48"/>
    <mergeCell ref="O46:O48"/>
    <mergeCell ref="P46:P48"/>
    <mergeCell ref="Q42:Q45"/>
    <mergeCell ref="A42:A45"/>
    <mergeCell ref="B42:B45"/>
    <mergeCell ref="L42:L4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rightToLeft="1" workbookViewId="0">
      <selection activeCell="F18" sqref="F18"/>
    </sheetView>
  </sheetViews>
  <sheetFormatPr defaultRowHeight="14.25" x14ac:dyDescent="0.2"/>
  <cols>
    <col min="3" max="3" width="60.125" bestFit="1" customWidth="1"/>
    <col min="4" max="4" width="11.25" bestFit="1" customWidth="1"/>
    <col min="5" max="5" width="10.5" bestFit="1" customWidth="1"/>
    <col min="7" max="7" width="18.25" customWidth="1"/>
  </cols>
  <sheetData>
    <row r="1" spans="1:9" x14ac:dyDescent="0.2">
      <c r="A1" s="130" t="s">
        <v>130</v>
      </c>
      <c r="B1" s="130" t="s">
        <v>131</v>
      </c>
      <c r="C1" s="130" t="s">
        <v>132</v>
      </c>
      <c r="D1" s="130" t="s">
        <v>133</v>
      </c>
      <c r="E1" s="130" t="s">
        <v>134</v>
      </c>
      <c r="F1" s="130" t="s">
        <v>135</v>
      </c>
      <c r="G1" s="130" t="s">
        <v>136</v>
      </c>
      <c r="H1" s="130" t="s">
        <v>137</v>
      </c>
      <c r="I1" s="130" t="s">
        <v>138</v>
      </c>
    </row>
    <row r="2" spans="1:9" x14ac:dyDescent="0.2">
      <c r="A2" s="130">
        <v>4597</v>
      </c>
      <c r="B2" s="130">
        <v>49992273</v>
      </c>
      <c r="C2" s="130" t="s">
        <v>139</v>
      </c>
      <c r="D2" s="131">
        <v>43411</v>
      </c>
      <c r="E2" s="131">
        <v>43411</v>
      </c>
      <c r="F2" s="130">
        <v>1</v>
      </c>
      <c r="G2" s="130" t="s">
        <v>167</v>
      </c>
      <c r="H2" s="130">
        <v>25</v>
      </c>
      <c r="I2" s="130"/>
    </row>
    <row r="3" spans="1:9" x14ac:dyDescent="0.2">
      <c r="A3" s="130">
        <v>4598</v>
      </c>
      <c r="B3" s="130">
        <v>49992274</v>
      </c>
      <c r="C3" s="130" t="s">
        <v>149</v>
      </c>
      <c r="D3" s="131">
        <v>43411</v>
      </c>
      <c r="E3" s="131">
        <v>43411</v>
      </c>
      <c r="F3" s="130">
        <v>1</v>
      </c>
      <c r="G3" s="130" t="s">
        <v>167</v>
      </c>
      <c r="H3" s="130">
        <v>50</v>
      </c>
      <c r="I3" s="130"/>
    </row>
    <row r="4" spans="1:9" x14ac:dyDescent="0.2">
      <c r="A4" s="130">
        <v>4599</v>
      </c>
      <c r="B4" s="130">
        <v>49992275</v>
      </c>
      <c r="C4" s="130" t="s">
        <v>158</v>
      </c>
      <c r="D4" s="131">
        <v>43411</v>
      </c>
      <c r="E4" s="131">
        <v>43411</v>
      </c>
      <c r="F4" s="130">
        <v>1</v>
      </c>
      <c r="G4" s="130" t="s">
        <v>167</v>
      </c>
      <c r="H4" s="130">
        <v>100</v>
      </c>
      <c r="I4" s="130"/>
    </row>
    <row r="5" spans="1:9" x14ac:dyDescent="0.2">
      <c r="A5" s="130">
        <v>4600</v>
      </c>
      <c r="B5" s="130">
        <v>49992278</v>
      </c>
      <c r="C5" s="130" t="s">
        <v>159</v>
      </c>
      <c r="D5" s="131">
        <v>43411</v>
      </c>
      <c r="E5" s="131">
        <v>43411</v>
      </c>
      <c r="F5" s="130">
        <v>1</v>
      </c>
      <c r="G5" s="130" t="s">
        <v>167</v>
      </c>
      <c r="H5" s="130">
        <v>50</v>
      </c>
      <c r="I5" s="130"/>
    </row>
    <row r="6" spans="1:9" x14ac:dyDescent="0.2">
      <c r="A6" s="130">
        <v>4601</v>
      </c>
      <c r="B6" s="130">
        <v>49992280</v>
      </c>
      <c r="C6" s="130" t="s">
        <v>160</v>
      </c>
      <c r="D6" s="131">
        <v>43411</v>
      </c>
      <c r="E6" s="131">
        <v>43411</v>
      </c>
      <c r="F6" s="130">
        <v>1</v>
      </c>
      <c r="G6" s="130" t="s">
        <v>167</v>
      </c>
      <c r="H6" s="130">
        <v>0</v>
      </c>
      <c r="I6" s="130"/>
    </row>
    <row r="7" spans="1:9" x14ac:dyDescent="0.2">
      <c r="A7" s="130">
        <v>4602</v>
      </c>
      <c r="B7" s="130">
        <v>49992284</v>
      </c>
      <c r="C7" s="130" t="s">
        <v>164</v>
      </c>
      <c r="D7" s="131">
        <v>43411</v>
      </c>
      <c r="E7" s="131">
        <v>43411</v>
      </c>
      <c r="F7" s="130">
        <v>1</v>
      </c>
      <c r="G7" s="130" t="s">
        <v>167</v>
      </c>
      <c r="H7" s="130">
        <v>0</v>
      </c>
      <c r="I7" s="130"/>
    </row>
    <row r="8" spans="1:9" x14ac:dyDescent="0.2">
      <c r="A8" s="130">
        <v>4603</v>
      </c>
      <c r="B8" s="130">
        <v>49992286</v>
      </c>
      <c r="C8" s="130" t="s">
        <v>143</v>
      </c>
      <c r="D8" s="131">
        <v>43411</v>
      </c>
      <c r="E8" s="131">
        <v>43411</v>
      </c>
      <c r="F8" s="130">
        <v>1</v>
      </c>
      <c r="G8" s="130" t="s">
        <v>167</v>
      </c>
      <c r="H8" s="130">
        <v>100</v>
      </c>
      <c r="I8" s="130"/>
    </row>
    <row r="9" spans="1:9" x14ac:dyDescent="0.2">
      <c r="A9" s="130">
        <v>4604</v>
      </c>
      <c r="B9" s="130">
        <v>49992287</v>
      </c>
      <c r="C9" s="130" t="s">
        <v>144</v>
      </c>
      <c r="D9" s="131">
        <v>43411</v>
      </c>
      <c r="E9" s="131">
        <v>43411</v>
      </c>
      <c r="F9" s="130">
        <v>1</v>
      </c>
      <c r="G9" s="130" t="s">
        <v>167</v>
      </c>
      <c r="H9" s="130">
        <v>0</v>
      </c>
      <c r="I9" s="130"/>
    </row>
    <row r="10" spans="1:9" x14ac:dyDescent="0.2">
      <c r="A10" s="130">
        <v>4605</v>
      </c>
      <c r="B10" s="130">
        <v>49992288</v>
      </c>
      <c r="C10" s="130" t="s">
        <v>141</v>
      </c>
      <c r="D10" s="131">
        <v>43411</v>
      </c>
      <c r="E10" s="131">
        <v>43411</v>
      </c>
      <c r="F10" s="130">
        <v>1</v>
      </c>
      <c r="G10" s="130" t="s">
        <v>167</v>
      </c>
      <c r="H10" s="130">
        <v>50</v>
      </c>
      <c r="I10" s="130"/>
    </row>
    <row r="11" spans="1:9" x14ac:dyDescent="0.2">
      <c r="A11" s="130">
        <v>4606</v>
      </c>
      <c r="B11" s="130">
        <v>49992289</v>
      </c>
      <c r="C11" s="130" t="s">
        <v>142</v>
      </c>
      <c r="D11" s="131">
        <v>43411</v>
      </c>
      <c r="E11" s="131">
        <v>43411</v>
      </c>
      <c r="F11" s="130">
        <v>1</v>
      </c>
      <c r="G11" s="130" t="s">
        <v>167</v>
      </c>
      <c r="H11" s="130">
        <v>0</v>
      </c>
      <c r="I11" s="130"/>
    </row>
    <row r="12" spans="1:9" x14ac:dyDescent="0.2">
      <c r="A12" s="130">
        <v>4607</v>
      </c>
      <c r="B12" s="130">
        <v>49992290</v>
      </c>
      <c r="C12" s="130" t="s">
        <v>140</v>
      </c>
      <c r="D12" s="131">
        <v>43411</v>
      </c>
      <c r="E12" s="131">
        <v>43411</v>
      </c>
      <c r="F12" s="130">
        <v>1</v>
      </c>
      <c r="G12" s="130" t="s">
        <v>167</v>
      </c>
      <c r="H12" s="130">
        <v>0</v>
      </c>
      <c r="I12" s="130"/>
    </row>
    <row r="13" spans="1:9" x14ac:dyDescent="0.2">
      <c r="A13" s="130"/>
      <c r="B13" s="130"/>
      <c r="C13" s="130"/>
      <c r="D13" s="131"/>
      <c r="E13" s="131"/>
      <c r="F13" s="130"/>
      <c r="G13" s="130"/>
      <c r="H13" s="130"/>
      <c r="I13" s="130"/>
    </row>
    <row r="14" spans="1:9" x14ac:dyDescent="0.2">
      <c r="A14" s="130"/>
      <c r="B14" s="130"/>
      <c r="C14" s="130"/>
      <c r="D14" s="131"/>
      <c r="E14" s="131"/>
      <c r="F14" s="130"/>
      <c r="G14" s="130"/>
      <c r="H14" s="130"/>
      <c r="I14" s="130"/>
    </row>
    <row r="15" spans="1:9" x14ac:dyDescent="0.2">
      <c r="A15" s="130"/>
      <c r="B15" s="130"/>
      <c r="C15" s="130"/>
      <c r="D15" s="131"/>
      <c r="E15" s="131"/>
      <c r="F15" s="130"/>
      <c r="G15" s="130"/>
      <c r="H15" s="130"/>
      <c r="I15" s="130"/>
    </row>
    <row r="16" spans="1:9" x14ac:dyDescent="0.2">
      <c r="A16" s="130"/>
      <c r="B16" s="130"/>
      <c r="C16" s="130"/>
      <c r="D16" s="131"/>
      <c r="E16" s="131"/>
      <c r="F16" s="130"/>
      <c r="G16" s="130"/>
      <c r="H16" s="130"/>
      <c r="I16" s="130"/>
    </row>
    <row r="17" spans="1:9" x14ac:dyDescent="0.2">
      <c r="A17" s="130"/>
      <c r="B17" s="130"/>
      <c r="C17" s="130"/>
      <c r="D17" s="131"/>
      <c r="E17" s="131"/>
      <c r="F17" s="130"/>
      <c r="G17" s="130"/>
      <c r="H17" s="130"/>
      <c r="I17" s="130"/>
    </row>
    <row r="18" spans="1:9" x14ac:dyDescent="0.2">
      <c r="A18" s="130"/>
      <c r="B18" s="130"/>
      <c r="C18" s="130"/>
      <c r="D18" s="131"/>
      <c r="E18" s="131"/>
      <c r="F18" s="130"/>
      <c r="G18" s="130"/>
      <c r="H18" s="130"/>
      <c r="I18" s="130"/>
    </row>
    <row r="19" spans="1:9" x14ac:dyDescent="0.2">
      <c r="A19" s="130"/>
      <c r="B19" s="130"/>
      <c r="C19" s="130"/>
      <c r="D19" s="131"/>
      <c r="E19" s="131"/>
      <c r="F19" s="130"/>
      <c r="G19" s="130"/>
      <c r="H19" s="130"/>
      <c r="I19" s="130"/>
    </row>
    <row r="20" spans="1:9" x14ac:dyDescent="0.2">
      <c r="A20" s="130"/>
      <c r="B20" s="130"/>
      <c r="C20" s="130"/>
      <c r="D20" s="131"/>
      <c r="E20" s="131"/>
      <c r="F20" s="130"/>
      <c r="G20" s="130"/>
      <c r="H20" s="130"/>
      <c r="I20" s="130"/>
    </row>
    <row r="21" spans="1:9" x14ac:dyDescent="0.2">
      <c r="A21" s="130"/>
      <c r="B21" s="130"/>
      <c r="C21" s="130"/>
      <c r="D21" s="131"/>
      <c r="E21" s="131"/>
      <c r="F21" s="130"/>
      <c r="G21" s="130"/>
      <c r="H21" s="130"/>
      <c r="I21" s="130"/>
    </row>
    <row r="22" spans="1:9" ht="15" x14ac:dyDescent="0.25">
      <c r="A22" s="126"/>
      <c r="B22" s="126"/>
      <c r="C22" s="128"/>
      <c r="D22" s="127"/>
      <c r="E22" s="127"/>
      <c r="F22" s="126"/>
      <c r="G22" s="126"/>
      <c r="H22" s="126"/>
    </row>
    <row r="23" spans="1:9" ht="15" x14ac:dyDescent="0.25">
      <c r="A23" s="124"/>
      <c r="B23" s="124"/>
      <c r="C23" s="124"/>
      <c r="D23" s="125"/>
      <c r="E23" s="125"/>
      <c r="F23" s="124"/>
      <c r="G23" s="124"/>
      <c r="H23" s="124"/>
    </row>
    <row r="24" spans="1:9" ht="15" x14ac:dyDescent="0.25">
      <c r="A24" s="124"/>
      <c r="B24" s="124"/>
      <c r="C24" s="124"/>
      <c r="D24" s="125"/>
      <c r="E24" s="125"/>
      <c r="F24" s="124"/>
      <c r="G24" s="124"/>
      <c r="H24" s="124"/>
    </row>
    <row r="25" spans="1:9" ht="15" x14ac:dyDescent="0.25">
      <c r="A25" s="124"/>
      <c r="B25" s="124"/>
      <c r="C25" s="124"/>
      <c r="D25" s="125"/>
      <c r="E25" s="125"/>
      <c r="F25" s="124"/>
      <c r="G25" s="124"/>
      <c r="H25" s="124"/>
    </row>
    <row r="26" spans="1:9" ht="15" x14ac:dyDescent="0.25">
      <c r="A26" s="124"/>
      <c r="B26" s="124"/>
      <c r="C26" s="124"/>
      <c r="D26" s="125"/>
      <c r="E26" s="125"/>
      <c r="F26" s="124"/>
      <c r="G26" s="124"/>
      <c r="H26" s="124"/>
    </row>
    <row r="27" spans="1:9" ht="15" x14ac:dyDescent="0.25">
      <c r="A27" s="124"/>
      <c r="B27" s="124"/>
      <c r="C27" s="124"/>
      <c r="D27" s="125"/>
      <c r="E27" s="125"/>
      <c r="F27" s="124"/>
      <c r="G27" s="124"/>
      <c r="H27" s="124"/>
    </row>
    <row r="28" spans="1:9" ht="15" x14ac:dyDescent="0.25">
      <c r="A28" s="124"/>
      <c r="B28" s="124"/>
      <c r="C28" s="124"/>
      <c r="D28" s="125"/>
      <c r="E28" s="125"/>
      <c r="F28" s="124"/>
      <c r="G28" s="124"/>
      <c r="H28" s="124"/>
    </row>
  </sheetData>
  <conditionalFormatting sqref="C2:C22">
    <cfRule type="duplicateValues" dxfId="0" priority="10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דוח</vt:lpstr>
      <vt:lpstr>שקלול הציון</vt:lpstr>
      <vt:lpstr>ליקויים מהמערכת</vt:lpstr>
      <vt:lpstr>דוח!Print_Area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אורח</dc:creator>
  <cp:lastModifiedBy>ran asa</cp:lastModifiedBy>
  <cp:lastPrinted>2018-11-08T18:52:06Z</cp:lastPrinted>
  <dcterms:created xsi:type="dcterms:W3CDTF">2018-07-29T15:33:45Z</dcterms:created>
  <dcterms:modified xsi:type="dcterms:W3CDTF">2018-11-08T19:01:55Z</dcterms:modified>
</cp:coreProperties>
</file>