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720" windowHeight="11685" activeTab="1"/>
  </bookViews>
  <sheets>
    <sheet name="דוח" sheetId="2" r:id="rId1"/>
    <sheet name="שקלול הציון" sheetId="1" r:id="rId2"/>
    <sheet name="ליקויים מהמערכת" sheetId="3" state="hidden" r:id="rId3"/>
  </sheets>
  <definedNames>
    <definedName name="_xlnm.Print_Area" localSheetId="0">דוח!$A$1:$L$72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2" i="3"/>
  <c r="F39" i="2" l="1"/>
  <c r="F38" i="2"/>
  <c r="F37" i="2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U4" i="1"/>
  <c r="U49" i="1" l="1"/>
  <c r="F36" i="2"/>
  <c r="G51" i="1" l="1"/>
  <c r="C50" i="2" l="1"/>
  <c r="A16" i="2" l="1"/>
  <c r="A17" i="2" s="1"/>
  <c r="A18" i="2" s="1"/>
  <c r="A19" i="2" s="1"/>
  <c r="A20" i="2" s="1"/>
  <c r="A21" i="2" s="1"/>
  <c r="F40" i="2" l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J13" i="1"/>
  <c r="H12" i="1"/>
  <c r="J11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J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22" i="1" l="1"/>
  <c r="J8" i="1"/>
  <c r="J9" i="1"/>
  <c r="J4" i="1"/>
  <c r="I36" i="1"/>
  <c r="I10" i="1"/>
  <c r="J28" i="1"/>
  <c r="J27" i="1"/>
  <c r="L46" i="1"/>
  <c r="N47" i="1" s="1"/>
  <c r="L4" i="1"/>
  <c r="I12" i="1"/>
  <c r="J18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D19" i="2"/>
  <c r="Y19" i="2" s="1"/>
  <c r="D20" i="2"/>
  <c r="Y20" i="2" s="1"/>
  <c r="D17" i="2"/>
  <c r="Y17" i="2" s="1"/>
  <c r="D16" i="2"/>
  <c r="Y16" i="2" s="1"/>
  <c r="D18" i="2"/>
  <c r="Y18" i="2" s="1"/>
  <c r="Y15" i="2" l="1"/>
  <c r="D22" i="2"/>
  <c r="C26" i="2" s="1"/>
  <c r="X21" i="2"/>
  <c r="C21" i="2"/>
  <c r="Y23" i="2" l="1"/>
  <c r="Y22" i="2"/>
  <c r="Y24" i="2" l="1"/>
  <c r="X18" i="2" l="1"/>
  <c r="C18" i="2"/>
  <c r="X19" i="2"/>
  <c r="C19" i="2"/>
  <c r="C16" i="2"/>
  <c r="C17" i="2"/>
  <c r="X16" i="2"/>
  <c r="C20" i="2"/>
  <c r="X20" i="2"/>
  <c r="X17" i="2"/>
  <c r="X15" i="2"/>
  <c r="C15" i="2"/>
  <c r="C22" i="2" l="1"/>
  <c r="X22" i="2"/>
</calcChain>
</file>

<file path=xl/sharedStrings.xml><?xml version="1.0" encoding="utf-8"?>
<sst xmlns="http://schemas.openxmlformats.org/spreadsheetml/2006/main" count="320" uniqueCount="207">
  <si>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</si>
  <si>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</si>
  <si>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</si>
  <si>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</si>
  <si>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</si>
  <si>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</si>
  <si>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</si>
  <si>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</si>
  <si>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</si>
  <si>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</si>
  <si>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</si>
  <si>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</si>
  <si>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</si>
  <si>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</si>
  <si>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</si>
  <si>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</si>
  <si>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</si>
  <si>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</si>
  <si>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</si>
  <si>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</si>
  <si>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</si>
  <si>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</si>
  <si>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</si>
  <si>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</si>
  <si>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</si>
  <si>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</si>
  <si>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</si>
  <si>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</si>
  <si>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</si>
  <si>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</si>
  <si>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</si>
  <si>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</si>
  <si>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</si>
  <si>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</si>
  <si>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</si>
  <si>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</si>
  <si>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</si>
  <si>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</si>
  <si>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</si>
  <si>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</si>
  <si>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</si>
  <si>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</si>
  <si>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</si>
  <si>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</si>
  <si>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</si>
  <si>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</si>
  <si>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</si>
  <si>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</si>
  <si>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</si>
  <si>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</si>
  <si>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</si>
  <si>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</si>
  <si>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</si>
  <si>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</si>
  <si>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</si>
  <si>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</si>
  <si>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</si>
  <si>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</si>
  <si>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</si>
  <si>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</si>
  <si>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</si>
  <si>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</si>
  <si>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</si>
  <si>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</si>
  <si>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</si>
  <si>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</si>
  <si>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</si>
  <si>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</si>
  <si>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נ"צ X:</t>
  </si>
  <si>
    <t>נ"צ Y:</t>
  </si>
  <si>
    <t>שטח בנוי:</t>
  </si>
  <si>
    <t>שם מנהל העבודה באתר:</t>
  </si>
  <si>
    <t>רמת בטיחות: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</si>
  <si>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</si>
  <si>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</si>
  <si>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</si>
  <si>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</si>
  <si>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</si>
  <si>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</si>
  <si>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</si>
  <si>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</si>
  <si>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</si>
  <si>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</si>
  <si>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</si>
  <si>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</si>
  <si>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</si>
  <si>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</si>
  <si>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</si>
  <si>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</si>
  <si>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</si>
  <si>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</si>
  <si>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</si>
  <si>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</si>
  <si>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</si>
  <si>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</si>
  <si>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</si>
  <si>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</si>
  <si>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סיכום סיור בפרויקט: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</si>
  <si>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</si>
  <si>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</si>
  <si>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</si>
  <si>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</si>
  <si>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</si>
  <si>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</si>
  <si>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</si>
  <si>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</si>
  <si>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</si>
  <si>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</si>
  <si>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</si>
  <si>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</si>
  <si>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</si>
  <si>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</si>
  <si>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</si>
  <si>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</si>
  <si>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</si>
  <si>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</si>
  <si>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</si>
  <si>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</si>
  <si>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</si>
  <si>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</si>
  <si>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</si>
  <si>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</si>
  <si>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</si>
  <si>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</si>
  <si>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</si>
  <si>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</si>
  <si>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שמירת מרחק בטיחות מקווי חשמל עליים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</si>
  <si>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</si>
  <si>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</si>
  <si>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</si>
  <si>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  הנחת ציוד, חומרי בניין ופסולת על גבי ספי רצפות/מרפסות/מעקות</t>
  </si>
  <si>
    <t>ליקוי ל: קיום לוח רגל ברצפות פיגום זקפים</t>
  </si>
  <si>
    <t>ליקוי ל:   שימוש לקוי בתמיכות אלכסוניות למערכת טפסות</t>
  </si>
  <si>
    <t>ליקוי ל: שימוש בקסדות מגן</t>
  </si>
  <si>
    <t>ליקוי ל: תקינות הגידור – אזני יד/תיכון, זקפי גידור (מעברים/מרפסות/פיגומים)</t>
  </si>
  <si>
    <t>ליקוי ל:   פיגום זקפים – חוסר /תקינות קשירות זקפים למבנה</t>
  </si>
  <si>
    <t>ליקוי ל:   פיגום זקפים - חוסר באלכסונים, תקינות קשירות לזקפים</t>
  </si>
  <si>
    <t>ליקוי ל: קיום מובל סגור (שוקת)  רציף ותקין, גידור מיקום השלכת פסולת</t>
  </si>
  <si>
    <t>ליקוי ל: שימוש במשקפי מגן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</si>
  <si>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</si>
  <si>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</si>
  <si>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</si>
  <si>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</si>
  <si>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</si>
  <si>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</si>
  <si>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</si>
  <si>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</si>
  <si>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</si>
  <si>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</si>
  <si>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</si>
  <si>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</si>
  <si>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</si>
  <si>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</si>
  <si>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</si>
  <si>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</si>
  <si>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</si>
  <si>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</si>
  <si>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</si>
  <si>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</si>
  <si>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</si>
  <si>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</si>
  <si>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</si>
  <si>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ליקוי ל:   שלטי ע.ע.ב  על גבי זרוע העגורן</t>
  </si>
  <si>
    <t>ליקוי ל:   שלטי פרסום על זרועות/תורן העגורן</t>
  </si>
  <si>
    <t>ליקוי ל: קיום לשונית אבטחה באונקל</t>
  </si>
  <si>
    <t>ליקוי ל: רתום/אבטחת משקולות בסיס</t>
  </si>
  <si>
    <t>ליקוי ל: צורת הנפת מטענים בעינוב ואביזרי הרמה מתאימים/מאולתרים</t>
  </si>
  <si>
    <t>ליקוי ל: פיגום זיזי –  עיגון זיזים לקוי, אורך משטח עבודה בפינת הבניין לקוי, מפתח בין זיזים</t>
  </si>
  <si>
    <t>ליקוי ל: משטח אחסנה מבוטן ומפולס, קיום תמיכות לתבניות</t>
  </si>
  <si>
    <t>ליקוי ל: שימוש ברתמות בטיחות.</t>
  </si>
  <si>
    <t>ליקוי ל: זיהוי אתת המצויד במכשיר קשר/או באמצעות סימני ידיים מוסכמים</t>
  </si>
  <si>
    <t>הגולן</t>
  </si>
  <si>
    <t>פיגום זקפים – תקינות רצפות/סולמות, עומס יתר</t>
  </si>
  <si>
    <t xml:space="preserve">  שלטי ע.ע.ב  על גבי זרוע העגורן</t>
  </si>
  <si>
    <t xml:space="preserve">  שלטי פרסום על זרועות/תורן העגורן</t>
  </si>
  <si>
    <t>אור עקיבא</t>
  </si>
  <si>
    <t>3</t>
  </si>
  <si>
    <t>מס' בניינים</t>
  </si>
  <si>
    <t>שרון מורדכי</t>
  </si>
  <si>
    <t>הגולן אור עקיבא</t>
  </si>
  <si>
    <t>ליקוי ל:   שימוש לקוי בתמיכות אנכיות למערכת טפסות</t>
  </si>
  <si>
    <t>מס' עבודה/אפיק:</t>
  </si>
  <si>
    <t>מס הזמנה:</t>
  </si>
  <si>
    <t>אי קשירת חבל רתמה לנקודת עיגון בטוחה.</t>
  </si>
  <si>
    <t>  פיגום זקפים – חוסר /תקינות קשירות זקפים למבנה</t>
  </si>
  <si>
    <t>  פיגום זקפים - חוסר באלכסונים, תקינות קשירות לזקפים</t>
  </si>
  <si>
    <t>  פיגום זקפים - חוסר בזקפים כפולים</t>
  </si>
  <si>
    <t>  פיגום זקפים - ביסוס לקוי</t>
  </si>
  <si>
    <t>  שימוש לקוי בתמיכות אלכסוניות למערכת טפסות</t>
  </si>
  <si>
    <t xml:space="preserve"> ביצוע דיפון/שיפוע מתאים </t>
  </si>
  <si>
    <t>   התקנת רשת בקיר חצוב למניעת הדרדרות אבנים</t>
  </si>
  <si>
    <t>  הנחת ציוד, חומרי בניין ופסולת על גבי ספי רצפות/מרפסות/מעקות</t>
  </si>
  <si>
    <t>זיהוי שימוש בשקים לשינוע פסולת בניה</t>
  </si>
  <si>
    <t>  קיום שלט במקום נראה לעין הכולל את פרטי המבצע, מנ"ע ומהות הבניה</t>
  </si>
  <si>
    <t>  פסולת בניה שפזורה בשטח האתר המהווה מכשולים</t>
  </si>
  <si>
    <t xml:space="preserve">  קיום גידור (עבודה על גג/תקרה של בניין)</t>
  </si>
  <si>
    <t xml:space="preserve">  תקינות הגידור – אזני יד/תיכון, זקפי גידור (עבודה על גג/תקרה של בניין)</t>
  </si>
  <si>
    <t xml:space="preserve">  קיום גידור (מעברים/מרפסות/ פיגומים)</t>
  </si>
  <si>
    <t xml:space="preserve">  קיום לוח רגל ברצפות פיגום זקפים</t>
  </si>
  <si>
    <t xml:space="preserve">  קיום לשונית אבטחה באונקל</t>
  </si>
  <si>
    <t xml:space="preserve">  שימוש במשקפי מגן</t>
  </si>
  <si>
    <t xml:space="preserve">  שימוש בנעלי עבודה</t>
  </si>
  <si>
    <t>12611</t>
  </si>
  <si>
    <t>34.918248</t>
  </si>
  <si>
    <t>רוטשטין</t>
  </si>
  <si>
    <t>שטרן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</si>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</sst>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81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5" fillId="0" borderId="0" xfId="3" applyNumberFormat="1" applyFill="1" applyAlignment="1" applyProtection="1"/>
    <xf numFmtId="0" fontId="16" fillId="0" borderId="12" xfId="0" applyFont="1" applyBorder="1" applyAlignment="1">
      <alignment wrapText="1"/>
    </xf>
    <xf numFmtId="0" fontId="15" fillId="0" borderId="0" xfId="3" applyNumberFormat="1" applyFill="1" applyAlignment="1" applyProtection="1"/>
    <xf numFmtId="0" fontId="17" fillId="0" borderId="0" xfId="0" applyFont="1"/>
    <xf numFmtId="49" fontId="10" fillId="0" borderId="0" xfId="0" applyNumberFormat="1" applyFont="1" applyAlignment="1">
      <alignment horizontal="right"/>
    </xf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18" fillId="0" borderId="12" xfId="0" applyFont="1" applyBorder="1" applyAlignment="1">
      <alignment vertical="center" wrapText="1" readingOrder="2"/>
    </xf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3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2" fillId="0" borderId="19" xfId="2" applyFont="1" applyBorder="1" applyAlignment="1">
      <alignment horizontal="center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0.33666666666666667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0.19049438832772167</c:v>
                </c:pt>
                <c:pt idx="1">
                  <c:v>0.28528806584362137</c:v>
                </c:pt>
                <c:pt idx="2">
                  <c:v>6.2592592592592589E-2</c:v>
                </c:pt>
                <c:pt idx="3">
                  <c:v>7.6666666666666661E-2</c:v>
                </c:pt>
                <c:pt idx="4">
                  <c:v>5.0055555555555555E-2</c:v>
                </c:pt>
                <c:pt idx="5">
                  <c:v>4.2592592592592592E-2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189672832"/>
        <c:axId val="189674624"/>
      </c:barChart>
      <c:catAx>
        <c:axId val="1896728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89674624"/>
        <c:crosses val="autoZero"/>
        <c:auto val="1"/>
        <c:lblAlgn val="ctr"/>
        <c:lblOffset val="100"/>
        <c:noMultiLvlLbl val="0"/>
      </c:catAx>
      <c:valAx>
        <c:axId val="1896746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8967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="" xmlns:a16="http://schemas.microsoft.com/office/drawing/2014/main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="" xmlns:a16="http://schemas.microsoft.com/office/drawing/2014/main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="" xmlns:a16="http://schemas.microsoft.com/office/drawing/2014/main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="" xmlns:a16="http://schemas.microsoft.com/office/drawing/2014/main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="" xmlns:a16="http://schemas.microsoft.com/office/drawing/2014/main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="" xmlns:a16="http://schemas.microsoft.com/office/drawing/2014/main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="" xmlns:a16="http://schemas.microsoft.com/office/drawing/2014/main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="" xmlns:a16="http://schemas.microsoft.com/office/drawing/2014/main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rightToLeft="1" zoomScale="85" zoomScaleNormal="85" workbookViewId="0">
      <selection activeCell="J12" sqref="J12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97</v>
      </c>
      <c r="B2" s="100"/>
      <c r="C2" s="100" t="s">
        <v>179</v>
      </c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67</v>
      </c>
      <c r="C6" t="s">
        <v>178</v>
      </c>
      <c r="D6" s="49" t="s">
        <v>95</v>
      </c>
      <c r="E6">
        <v>52994688</v>
      </c>
      <c r="G6" s="49" t="s">
        <v>64</v>
      </c>
      <c r="H6" s="51">
        <v>43312</v>
      </c>
      <c r="I6" s="49" t="s">
        <v>65</v>
      </c>
      <c r="J6" s="52">
        <v>0.375</v>
      </c>
      <c r="R6" s="52"/>
      <c r="X6" s="61"/>
    </row>
    <row r="7" spans="1:25" ht="15.75" customHeight="1" x14ac:dyDescent="0.25">
      <c r="B7" s="49" t="s">
        <v>66</v>
      </c>
      <c r="D7" s="49" t="s">
        <v>95</v>
      </c>
      <c r="F7" s="137" t="s">
        <v>71</v>
      </c>
      <c r="G7" s="137"/>
      <c r="H7" s="53"/>
      <c r="I7" s="49" t="s">
        <v>181</v>
      </c>
      <c r="J7" s="132">
        <v>234560</v>
      </c>
      <c r="R7" s="52"/>
      <c r="X7" s="61"/>
    </row>
    <row r="8" spans="1:25" ht="15" x14ac:dyDescent="0.25">
      <c r="B8" s="49" t="s">
        <v>177</v>
      </c>
      <c r="C8" s="53" t="s">
        <v>176</v>
      </c>
      <c r="D8" s="49" t="s">
        <v>70</v>
      </c>
      <c r="E8" s="135">
        <v>17050</v>
      </c>
      <c r="G8" s="49" t="s">
        <v>73</v>
      </c>
      <c r="H8" s="53" t="s">
        <v>204</v>
      </c>
      <c r="I8" s="49" t="s">
        <v>75</v>
      </c>
      <c r="J8" s="128"/>
      <c r="X8" s="61"/>
    </row>
    <row r="9" spans="1:25" ht="15" x14ac:dyDescent="0.25">
      <c r="B9" s="49" t="s">
        <v>68</v>
      </c>
      <c r="C9" s="53" t="s">
        <v>203</v>
      </c>
      <c r="D9" s="49" t="s">
        <v>69</v>
      </c>
      <c r="E9" s="49">
        <v>32.522422499999998</v>
      </c>
      <c r="G9" s="49" t="s">
        <v>74</v>
      </c>
      <c r="H9" s="53" t="s">
        <v>205</v>
      </c>
      <c r="I9" s="49" t="s">
        <v>76</v>
      </c>
      <c r="J9" s="129"/>
      <c r="X9" s="61"/>
    </row>
    <row r="10" spans="1:25" ht="15" x14ac:dyDescent="0.25">
      <c r="B10" s="77" t="s">
        <v>111</v>
      </c>
      <c r="C10" s="53" t="s">
        <v>202</v>
      </c>
      <c r="D10" s="77" t="s">
        <v>112</v>
      </c>
      <c r="E10">
        <v>132</v>
      </c>
      <c r="G10" s="77" t="s">
        <v>108</v>
      </c>
      <c r="H10" t="s">
        <v>175</v>
      </c>
      <c r="I10" s="77" t="s">
        <v>110</v>
      </c>
      <c r="J10" s="136" t="s">
        <v>206</v>
      </c>
      <c r="X10" s="61"/>
    </row>
    <row r="11" spans="1:25" ht="15" x14ac:dyDescent="0.25">
      <c r="B11" s="62" t="s">
        <v>182</v>
      </c>
      <c r="C11">
        <v>4501612599</v>
      </c>
      <c r="D11" s="62"/>
      <c r="G11" s="77" t="s">
        <v>109</v>
      </c>
      <c r="H11" s="53" t="s">
        <v>171</v>
      </c>
      <c r="X11" s="61"/>
    </row>
    <row r="12" spans="1:25" ht="18" x14ac:dyDescent="0.25">
      <c r="A12" s="113" t="s">
        <v>107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54</v>
      </c>
      <c r="C14" s="82" t="s">
        <v>91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 t="shared" ref="C15:C21" si="0">IF(Y15="",$Y$24+W15,0)</f>
        <v>0.33666666666666667</v>
      </c>
      <c r="D15" s="68">
        <f>'שקלול הציון'!Q4</f>
        <v>0.19049438832772167</v>
      </c>
      <c r="U15" s="2"/>
      <c r="V15" s="1"/>
      <c r="W15" s="87">
        <v>0.33</v>
      </c>
      <c r="X15" s="88">
        <f t="shared" ref="X15:X21" si="1">IF(Y15="",$Y$24,0)</f>
        <v>6.6666666666666671E-3</v>
      </c>
      <c r="Y15" s="89" t="str">
        <f t="shared" ref="Y15:Y21" si="2">IF(D15=0,W15,"")</f>
        <v/>
      </c>
    </row>
    <row r="16" spans="1:25" x14ac:dyDescent="0.2">
      <c r="A16" s="94">
        <f>A15+1</f>
        <v>2</v>
      </c>
      <c r="B16" s="95" t="str">
        <f>'שקלול הציון'!A12</f>
        <v>סכנת התמוטטות</v>
      </c>
      <c r="C16" s="67">
        <f t="shared" si="0"/>
        <v>0.36666666666666664</v>
      </c>
      <c r="D16" s="68">
        <f>'שקלול הציון'!Q12</f>
        <v>0.28528806584362137</v>
      </c>
      <c r="U16" s="2"/>
      <c r="V16" s="1"/>
      <c r="W16" s="90">
        <v>0.36</v>
      </c>
      <c r="X16" s="91">
        <f t="shared" si="1"/>
        <v>6.6666666666666671E-3</v>
      </c>
      <c r="Y16" s="92" t="str">
        <f t="shared" si="2"/>
        <v/>
      </c>
    </row>
    <row r="17" spans="1:25" x14ac:dyDescent="0.2">
      <c r="A17" s="94">
        <f t="shared" ref="A17:A21" si="3">A16+1</f>
        <v>3</v>
      </c>
      <c r="B17" s="95" t="str">
        <f>'שקלול הציון'!A30</f>
        <v>נפילת חפצים ופסולת מגובה</v>
      </c>
      <c r="C17" s="67">
        <f t="shared" si="0"/>
        <v>8.666666666666667E-2</v>
      </c>
      <c r="D17" s="68">
        <f>'שקלול הציון'!Q30</f>
        <v>6.2592592592592589E-2</v>
      </c>
      <c r="U17" s="2"/>
      <c r="V17" s="1"/>
      <c r="W17" s="90">
        <v>0.08</v>
      </c>
      <c r="X17" s="91">
        <f t="shared" si="1"/>
        <v>6.6666666666666671E-3</v>
      </c>
      <c r="Y17" s="92" t="str">
        <f t="shared" si="2"/>
        <v/>
      </c>
    </row>
    <row r="18" spans="1:25" x14ac:dyDescent="0.2">
      <c r="A18" s="94">
        <f t="shared" si="3"/>
        <v>4</v>
      </c>
      <c r="B18" s="95" t="str">
        <f>'שקלול הציון'!A34</f>
        <v>סיכוני שינוע</v>
      </c>
      <c r="C18" s="67">
        <f t="shared" si="0"/>
        <v>7.6666666666666675E-2</v>
      </c>
      <c r="D18" s="68">
        <f>'שקלול הציון'!Q34</f>
        <v>7.6666666666666661E-2</v>
      </c>
      <c r="U18" s="2"/>
      <c r="V18" s="1"/>
      <c r="W18" s="90">
        <v>7.0000000000000007E-2</v>
      </c>
      <c r="X18" s="91">
        <f t="shared" si="1"/>
        <v>6.6666666666666671E-3</v>
      </c>
      <c r="Y18" s="92" t="str">
        <f t="shared" si="2"/>
        <v/>
      </c>
    </row>
    <row r="19" spans="1:25" x14ac:dyDescent="0.2">
      <c r="A19" s="94">
        <f t="shared" si="3"/>
        <v>5</v>
      </c>
      <c r="B19" s="95" t="str">
        <f>'שקלול הציון'!A39</f>
        <v>שימוש בציוד מגן</v>
      </c>
      <c r="C19" s="67">
        <f t="shared" si="0"/>
        <v>5.6666666666666671E-2</v>
      </c>
      <c r="D19" s="68">
        <f>'שקלול הציון'!Q39</f>
        <v>5.0055555555555555E-2</v>
      </c>
      <c r="U19" s="2"/>
      <c r="V19" s="1"/>
      <c r="W19" s="90">
        <v>0.05</v>
      </c>
      <c r="X19" s="91">
        <f t="shared" si="1"/>
        <v>6.6666666666666671E-3</v>
      </c>
      <c r="Y19" s="92" t="str">
        <f t="shared" si="2"/>
        <v/>
      </c>
    </row>
    <row r="20" spans="1:25" x14ac:dyDescent="0.2">
      <c r="A20" s="94">
        <f t="shared" si="3"/>
        <v>6</v>
      </c>
      <c r="B20" s="95" t="str">
        <f>'שקלול הציון'!A42</f>
        <v>רמת ארגון אתר</v>
      </c>
      <c r="C20" s="67">
        <f t="shared" si="0"/>
        <v>7.6666666666666675E-2</v>
      </c>
      <c r="D20" s="68">
        <f>'שקלול הציון'!Q42</f>
        <v>4.2592592592592592E-2</v>
      </c>
      <c r="U20" s="2"/>
      <c r="V20" s="1"/>
      <c r="W20" s="90">
        <v>7.0000000000000007E-2</v>
      </c>
      <c r="X20" s="91">
        <f t="shared" si="1"/>
        <v>6.6666666666666671E-3</v>
      </c>
      <c r="Y20" s="92" t="str">
        <f t="shared" si="2"/>
        <v/>
      </c>
    </row>
    <row r="21" spans="1:25" x14ac:dyDescent="0.2">
      <c r="A21" s="94">
        <f t="shared" si="3"/>
        <v>7</v>
      </c>
      <c r="B21" s="95" t="str">
        <f>'שקלול הציון'!A46</f>
        <v>סיכוני עבודה חמה</v>
      </c>
      <c r="C21" s="67">
        <f t="shared" si="0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1"/>
        <v>0</v>
      </c>
      <c r="Y21" s="92">
        <f t="shared" si="2"/>
        <v>0.04</v>
      </c>
    </row>
    <row r="22" spans="1:25" ht="15" thickBot="1" x14ac:dyDescent="0.25">
      <c r="A22" s="102"/>
      <c r="B22" s="102" t="s">
        <v>92</v>
      </c>
      <c r="C22" s="103">
        <f>SUM(C15:C21)</f>
        <v>1</v>
      </c>
      <c r="D22" s="104">
        <f>SUM(D15:D21)</f>
        <v>0.70768986157875047</v>
      </c>
      <c r="U22" s="2"/>
      <c r="V22" s="1"/>
      <c r="W22" s="3"/>
      <c r="X22" s="91">
        <f>SUM(X15:X21)</f>
        <v>0.04</v>
      </c>
      <c r="Y22" s="93">
        <f>SUM(Y15:Y21)</f>
        <v>0.04</v>
      </c>
    </row>
    <row r="23" spans="1:25" ht="15" thickBot="1" x14ac:dyDescent="0.25">
      <c r="U23" s="2"/>
      <c r="V23" s="1"/>
      <c r="W23" s="3"/>
      <c r="X23" s="63"/>
      <c r="Y23" s="92">
        <f>COUNT(Y15:Y21)</f>
        <v>1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6.6666666666666671E-3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72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93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77</v>
      </c>
      <c r="C35" s="79" t="s">
        <v>78</v>
      </c>
      <c r="D35" s="79" t="s">
        <v>79</v>
      </c>
      <c r="E35" s="79" t="s">
        <v>81</v>
      </c>
      <c r="F35" s="80" t="s">
        <v>80</v>
      </c>
    </row>
    <row r="36" spans="1:12" x14ac:dyDescent="0.2">
      <c r="B36" s="70">
        <v>1</v>
      </c>
      <c r="C36" s="71"/>
      <c r="D36" s="71"/>
      <c r="E36" s="71"/>
      <c r="F36" s="72">
        <f>E36*D36</f>
        <v>0</v>
      </c>
    </row>
    <row r="37" spans="1:12" x14ac:dyDescent="0.2">
      <c r="B37" s="70">
        <v>2</v>
      </c>
      <c r="C37" s="71"/>
      <c r="D37" s="71"/>
      <c r="E37" s="71"/>
      <c r="F37" s="72">
        <f t="shared" ref="F37:F39" si="4">E37*D37</f>
        <v>0</v>
      </c>
    </row>
    <row r="38" spans="1:12" x14ac:dyDescent="0.2">
      <c r="B38" s="70">
        <v>3</v>
      </c>
      <c r="C38" s="71"/>
      <c r="D38" s="71"/>
      <c r="E38" s="71"/>
      <c r="F38" s="72">
        <f t="shared" si="4"/>
        <v>0</v>
      </c>
    </row>
    <row r="39" spans="1:12" ht="15" thickBot="1" x14ac:dyDescent="0.25">
      <c r="B39" s="69"/>
      <c r="C39" s="73"/>
      <c r="D39" s="73"/>
      <c r="E39" s="73"/>
      <c r="F39" s="74">
        <f t="shared" si="4"/>
        <v>0</v>
      </c>
    </row>
    <row r="40" spans="1:12" ht="15.75" thickBot="1" x14ac:dyDescent="0.3">
      <c r="C40" s="49"/>
      <c r="D40" s="53"/>
      <c r="E40" s="105" t="s">
        <v>92</v>
      </c>
      <c r="F40" s="106">
        <f>SUM(F36:F39)</f>
        <v>0</v>
      </c>
    </row>
    <row r="41" spans="1:12" ht="15" x14ac:dyDescent="0.25">
      <c r="C41" s="77"/>
      <c r="D41" s="53"/>
      <c r="F41" s="77"/>
    </row>
    <row r="42" spans="1:12" ht="18" x14ac:dyDescent="0.25">
      <c r="A42" s="113" t="s">
        <v>82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ht="9" customHeight="1" thickBot="1" x14ac:dyDescent="0.3">
      <c r="A43" s="76"/>
      <c r="E43" s="48"/>
    </row>
    <row r="44" spans="1:12" ht="15" x14ac:dyDescent="0.25">
      <c r="B44" s="84" t="s">
        <v>83</v>
      </c>
      <c r="C44" s="111" t="s">
        <v>84</v>
      </c>
      <c r="D44" s="85" t="s">
        <v>85</v>
      </c>
      <c r="E44" s="48"/>
    </row>
    <row r="45" spans="1:12" ht="15" x14ac:dyDescent="0.25">
      <c r="B45" s="70" t="s">
        <v>86</v>
      </c>
      <c r="C45" s="108"/>
      <c r="D45" s="72"/>
      <c r="E45" s="48"/>
    </row>
    <row r="46" spans="1:12" ht="15" x14ac:dyDescent="0.25">
      <c r="B46" s="70" t="s">
        <v>87</v>
      </c>
      <c r="C46" s="108"/>
      <c r="D46" s="72"/>
      <c r="E46" s="48"/>
    </row>
    <row r="47" spans="1:12" ht="15" x14ac:dyDescent="0.25">
      <c r="B47" s="70" t="s">
        <v>88</v>
      </c>
      <c r="C47" s="108"/>
      <c r="D47" s="72"/>
      <c r="E47" s="48"/>
    </row>
    <row r="48" spans="1:12" ht="15" x14ac:dyDescent="0.25">
      <c r="B48" s="70" t="s">
        <v>89</v>
      </c>
      <c r="C48" s="108"/>
      <c r="D48" s="72"/>
      <c r="E48" s="48"/>
    </row>
    <row r="49" spans="1:12" ht="15.75" thickBot="1" x14ac:dyDescent="0.3">
      <c r="B49" s="69" t="s">
        <v>90</v>
      </c>
      <c r="C49" s="109"/>
      <c r="D49" s="74"/>
      <c r="E49" s="48"/>
    </row>
    <row r="50" spans="1:12" ht="15.75" thickBot="1" x14ac:dyDescent="0.3">
      <c r="B50" s="107" t="s">
        <v>105</v>
      </c>
      <c r="C50" s="110">
        <f>SUM(C45:C49)</f>
        <v>0</v>
      </c>
      <c r="E50" s="48"/>
    </row>
    <row r="51" spans="1:12" ht="15" x14ac:dyDescent="0.25">
      <c r="C51" s="77"/>
      <c r="E51" s="48"/>
    </row>
    <row r="52" spans="1:12" ht="15" x14ac:dyDescent="0.25">
      <c r="E52" s="48"/>
    </row>
    <row r="53" spans="1:12" ht="18" x14ac:dyDescent="0.25">
      <c r="A53" s="113" t="s">
        <v>94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7.5" customHeight="1" thickBot="1" x14ac:dyDescent="0.3">
      <c r="A54" s="76"/>
      <c r="B54" s="48"/>
      <c r="E54" s="48"/>
    </row>
    <row r="55" spans="1:12" x14ac:dyDescent="0.2">
      <c r="B55" s="138"/>
      <c r="C55" s="139"/>
      <c r="D55" s="139"/>
      <c r="E55" s="139"/>
      <c r="F55" s="139"/>
      <c r="G55" s="139"/>
      <c r="H55" s="139"/>
      <c r="I55" s="139"/>
      <c r="J55" s="139"/>
      <c r="K55" s="140"/>
    </row>
    <row r="56" spans="1:12" x14ac:dyDescent="0.2">
      <c r="B56" s="141"/>
      <c r="C56" s="142"/>
      <c r="D56" s="142"/>
      <c r="E56" s="142"/>
      <c r="F56" s="142"/>
      <c r="G56" s="142"/>
      <c r="H56" s="142"/>
      <c r="I56" s="142"/>
      <c r="J56" s="142"/>
      <c r="K56" s="143"/>
    </row>
    <row r="57" spans="1:12" x14ac:dyDescent="0.2">
      <c r="B57" s="141"/>
      <c r="C57" s="142"/>
      <c r="D57" s="142"/>
      <c r="E57" s="142"/>
      <c r="F57" s="142"/>
      <c r="G57" s="142"/>
      <c r="H57" s="142"/>
      <c r="I57" s="142"/>
      <c r="J57" s="142"/>
      <c r="K57" s="143"/>
    </row>
    <row r="58" spans="1:12" x14ac:dyDescent="0.2">
      <c r="B58" s="141"/>
      <c r="C58" s="142"/>
      <c r="D58" s="142"/>
      <c r="E58" s="142"/>
      <c r="F58" s="142"/>
      <c r="G58" s="142"/>
      <c r="H58" s="142"/>
      <c r="I58" s="142"/>
      <c r="J58" s="142"/>
      <c r="K58" s="143"/>
    </row>
    <row r="59" spans="1:12" x14ac:dyDescent="0.2">
      <c r="B59" s="141"/>
      <c r="C59" s="142"/>
      <c r="D59" s="142"/>
      <c r="E59" s="142"/>
      <c r="F59" s="142"/>
      <c r="G59" s="142"/>
      <c r="H59" s="142"/>
      <c r="I59" s="142"/>
      <c r="J59" s="142"/>
      <c r="K59" s="143"/>
    </row>
    <row r="60" spans="1:12" ht="15" thickBot="1" x14ac:dyDescent="0.25">
      <c r="B60" s="144"/>
      <c r="C60" s="145"/>
      <c r="D60" s="145"/>
      <c r="E60" s="145"/>
      <c r="F60" s="145"/>
      <c r="G60" s="145"/>
      <c r="H60" s="145"/>
      <c r="I60" s="145"/>
      <c r="J60" s="145"/>
      <c r="K60" s="146"/>
    </row>
    <row r="62" spans="1:12" ht="18" x14ac:dyDescent="0.25">
      <c r="A62" s="113" t="s">
        <v>99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1:12" ht="9" customHeight="1" x14ac:dyDescent="0.2"/>
    <row r="64" spans="1:12" s="98" customFormat="1" ht="21.75" customHeight="1" x14ac:dyDescent="0.2">
      <c r="B64" s="98" t="s">
        <v>100</v>
      </c>
      <c r="G64" s="98" t="s">
        <v>102</v>
      </c>
    </row>
    <row r="65" spans="1:12" s="98" customFormat="1" ht="21.75" customHeight="1" x14ac:dyDescent="0.2">
      <c r="B65" s="98" t="s">
        <v>98</v>
      </c>
      <c r="G65" s="98" t="s">
        <v>103</v>
      </c>
    </row>
    <row r="66" spans="1:12" s="98" customFormat="1" ht="21.75" customHeight="1" x14ac:dyDescent="0.2">
      <c r="B66" s="98" t="s">
        <v>101</v>
      </c>
      <c r="G66" s="98" t="s">
        <v>104</v>
      </c>
    </row>
    <row r="69" spans="1:12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8" x14ac:dyDescent="0.25">
      <c r="A70" s="100"/>
      <c r="B70" s="100"/>
      <c r="C70" s="99"/>
      <c r="D70" s="101"/>
      <c r="E70" s="99"/>
      <c r="F70" s="99"/>
      <c r="G70" s="99"/>
      <c r="H70" s="99"/>
      <c r="I70" s="99"/>
      <c r="J70" s="99"/>
      <c r="K70" s="99"/>
      <c r="L70" s="99"/>
    </row>
    <row r="71" spans="1:12" x14ac:dyDescent="0.2">
      <c r="A71" s="99" t="s">
        <v>96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</sheetData>
  <mergeCells count="2">
    <mergeCell ref="F7:G7"/>
    <mergeCell ref="B55:K60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rightToLeft="1" tabSelected="1" topLeftCell="A37" workbookViewId="0">
      <selection activeCell="G51" sqref="G51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21" ht="18" x14ac:dyDescent="0.25">
      <c r="A1" s="86" t="s">
        <v>113</v>
      </c>
      <c r="B1" s="127" t="s">
        <v>171</v>
      </c>
      <c r="C1" s="50"/>
    </row>
    <row r="2" spans="1:21" ht="15.75" thickBot="1" x14ac:dyDescent="0.3">
      <c r="B2" s="49"/>
      <c r="C2" s="53"/>
      <c r="D2" s="48"/>
      <c r="Q2" s="52"/>
    </row>
    <row r="3" spans="1:21" ht="45.75" thickBot="1" x14ac:dyDescent="0.3">
      <c r="A3" s="11" t="s">
        <v>54</v>
      </c>
      <c r="B3" s="12" t="s">
        <v>61</v>
      </c>
      <c r="C3" s="12" t="s">
        <v>60</v>
      </c>
      <c r="D3" s="12" t="s">
        <v>62</v>
      </c>
      <c r="E3" s="12" t="s">
        <v>59</v>
      </c>
      <c r="F3" s="12" t="s">
        <v>63</v>
      </c>
      <c r="G3" s="12" t="s">
        <v>55</v>
      </c>
      <c r="H3" s="12"/>
      <c r="I3" s="12"/>
      <c r="J3" s="12" t="s">
        <v>56</v>
      </c>
      <c r="K3" s="12"/>
      <c r="L3" s="12"/>
      <c r="M3" s="12"/>
      <c r="N3" s="12" t="s">
        <v>58</v>
      </c>
      <c r="O3" s="12"/>
      <c r="P3" s="12"/>
      <c r="Q3" s="13" t="s">
        <v>57</v>
      </c>
    </row>
    <row r="4" spans="1:21" ht="15" x14ac:dyDescent="0.25">
      <c r="A4" s="147" t="s">
        <v>0</v>
      </c>
      <c r="B4" s="150">
        <v>0.33</v>
      </c>
      <c r="C4" s="158" t="s">
        <v>7</v>
      </c>
      <c r="D4" s="160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"))/100/COUNTIFS('ליקויים מהמערכת'!$G:$G,$B$1,'ליקויים מהמערכת'!$C:$C,REPLACE(E4,1,0,"ליקוי ל: ")))</f>
        <v>0.66666666666666663</v>
      </c>
      <c r="H4" s="16" t="str">
        <f t="shared" ref="H4:H48" si="0">IF(G4="",F4,"")</f>
        <v/>
      </c>
      <c r="I4" s="153">
        <f>SUM(H4:H5)</f>
        <v>0</v>
      </c>
      <c r="J4" s="17">
        <f>IFERROR(IF(G4="","",(F4+I$4/COUNTA(G$4:G$5))*G4),F4*G4)</f>
        <v>4.6666666666666669E-2</v>
      </c>
      <c r="K4" s="155" t="str">
        <f>IF(COUNTBLANK(G4:G5)=COUNTA(F4:F5),D4,"")</f>
        <v/>
      </c>
      <c r="L4" s="153">
        <f>IFERROR(SUM(K4:K11)/SUM(M4:M11),0)</f>
        <v>1.3333333333333334E-2</v>
      </c>
      <c r="M4" s="155">
        <f>IF(K4="",1,"")</f>
        <v>1</v>
      </c>
      <c r="N4" s="167">
        <f>SUM(J4:J5)/D4*L$4+SUM(J4:J5)</f>
        <v>7.8388888888888897E-2</v>
      </c>
      <c r="O4" s="155">
        <f>IF(L4&gt;0,1,IF(SUM(M4:M11)=4,1,""))</f>
        <v>1</v>
      </c>
      <c r="P4" s="153" t="str">
        <f>IF(O4="",B4,"")</f>
        <v/>
      </c>
      <c r="Q4" s="170">
        <f>SUM(P4:P48)/SUM(O4:O48)*(SUM(N4:N11)/B4)+SUM(N4:N11)</f>
        <v>0.19049438832772167</v>
      </c>
      <c r="U4">
        <f>COUNTIFS('ליקויים מהמערכת'!$G:$G,$B$1,'ליקויים מהמערכת'!$C:$C,REPLACE(E4,1,0,"ליקוי ל: "))</f>
        <v>3</v>
      </c>
    </row>
    <row r="5" spans="1:21" ht="30" x14ac:dyDescent="0.25">
      <c r="A5" s="148"/>
      <c r="B5" s="151"/>
      <c r="C5" s="159"/>
      <c r="D5" s="161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"))/100/COUNTIFS('ליקויים מהמערכת'!$G:$G,$B$1,'ליקויים מהמערכת'!$C:$C,REPLACE(E5,1,0,"ליקוי ל: ")))</f>
        <v>0.75</v>
      </c>
      <c r="H5" s="20" t="str">
        <f t="shared" si="0"/>
        <v/>
      </c>
      <c r="I5" s="154"/>
      <c r="J5" s="21">
        <f>IFERROR(IF(G5="","",(F5+I$4/COUNT(G$4:G$5))*G5),F5*G5)</f>
        <v>2.2499999999999999E-2</v>
      </c>
      <c r="K5" s="156"/>
      <c r="L5" s="154"/>
      <c r="M5" s="156"/>
      <c r="N5" s="168"/>
      <c r="O5" s="156"/>
      <c r="P5" s="154"/>
      <c r="Q5" s="171"/>
      <c r="U5">
        <f>COUNTIFS('ליקויים מהמערכת'!$G:$G,$B$1,'ליקויים מהמערכת'!$C:$C,REPLACE(E5,1,0,"ליקוי ל: "))</f>
        <v>4</v>
      </c>
    </row>
    <row r="6" spans="1:21" ht="15" x14ac:dyDescent="0.25">
      <c r="A6" s="148"/>
      <c r="B6" s="151"/>
      <c r="C6" s="162" t="s">
        <v>8</v>
      </c>
      <c r="D6" s="164">
        <v>0.09</v>
      </c>
      <c r="E6" s="4" t="s">
        <v>36</v>
      </c>
      <c r="F6" s="18">
        <v>0.05</v>
      </c>
      <c r="G6" s="19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"))/100/COUNTIFS('ליקויים מהמערכת'!$G:$G,$B$1,'ליקויים מהמערכת'!$C:$C,REPLACE(E6,1,0,"ליקוי ל: ")))</f>
        <v>0.5</v>
      </c>
      <c r="H6" s="20" t="str">
        <f t="shared" si="0"/>
        <v/>
      </c>
      <c r="I6" s="154">
        <f>SUM(H6:H7)</f>
        <v>0.04</v>
      </c>
      <c r="J6" s="21">
        <f>IFERROR(IF(G6="","",(F6+I$6/COUNT(G$6:G$7))*G6),F6*G6)</f>
        <v>4.4999999999999998E-2</v>
      </c>
      <c r="K6" s="156" t="str">
        <f>IF(COUNTBLANK(G6:G7)=COUNTA(F6:F7),D6,"")</f>
        <v/>
      </c>
      <c r="L6" s="154"/>
      <c r="M6" s="156">
        <f>IF(K6="",1,"")</f>
        <v>1</v>
      </c>
      <c r="N6" s="168">
        <f>SUM(J6:J7)/D6*L$4+SUM(J6:J7)</f>
        <v>5.1666666666666666E-2</v>
      </c>
      <c r="O6" s="156"/>
      <c r="P6" s="154"/>
      <c r="Q6" s="171"/>
      <c r="U6">
        <f>COUNTIFS('ליקויים מהמערכת'!$G:$G,$B$1,'ליקויים מהמערכת'!$C:$C,REPLACE(E6,1,0,"ליקוי ל: "))</f>
        <v>1</v>
      </c>
    </row>
    <row r="7" spans="1:21" ht="15" x14ac:dyDescent="0.25">
      <c r="A7" s="148"/>
      <c r="B7" s="151"/>
      <c r="C7" s="163"/>
      <c r="D7" s="165"/>
      <c r="E7" s="126" t="s">
        <v>139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"))/100/COUNTIFS('ליקויים מהמערכת'!$G:$G,$B$1,'ליקויים מהמערכת'!$C:$C,REPLACE(E7,1,0,"ליקוי ל: ")))</f>
        <v/>
      </c>
      <c r="H7" s="20">
        <f t="shared" si="0"/>
        <v>0.04</v>
      </c>
      <c r="I7" s="154"/>
      <c r="J7" s="21" t="str">
        <f>IFERROR(IF(G7="","",(F7+I$6/COUNT(G$6:G$7))*G7),F7*G7)</f>
        <v/>
      </c>
      <c r="K7" s="156"/>
      <c r="L7" s="154"/>
      <c r="M7" s="156"/>
      <c r="N7" s="168"/>
      <c r="O7" s="156"/>
      <c r="P7" s="154"/>
      <c r="Q7" s="171"/>
      <c r="U7">
        <f>COUNTIFS('ליקויים מהמערכת'!$G:$G,$B$1,'ליקויים מהמערכת'!$C:$C,REPLACE(E7,1,0,"ליקוי ל: "))</f>
        <v>0</v>
      </c>
    </row>
    <row r="8" spans="1:21" ht="15" x14ac:dyDescent="0.25">
      <c r="A8" s="148"/>
      <c r="B8" s="151"/>
      <c r="C8" s="159" t="s">
        <v>9</v>
      </c>
      <c r="D8" s="161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"))/100/COUNTIFS('ליקויים מהמערכת'!$G:$G,$B$1,'ליקויים מהמערכת'!$C:$C,REPLACE(E8,1,0,"ליקוי ל: ")))</f>
        <v>0.5</v>
      </c>
      <c r="H8" s="20" t="str">
        <f t="shared" si="0"/>
        <v/>
      </c>
      <c r="I8" s="154">
        <f>SUM(H8:H9)</f>
        <v>0</v>
      </c>
      <c r="J8" s="21">
        <f>IFERROR(IF(G8="","",(F8+I$8/COUNT(G$8:G$9))*G8),F8*G8)</f>
        <v>3.5000000000000003E-2</v>
      </c>
      <c r="K8" s="156" t="str">
        <f>IF(COUNTBLANK(G8:G9)=COUNTA(F8:F9),D8,"")</f>
        <v/>
      </c>
      <c r="L8" s="154"/>
      <c r="M8" s="156">
        <f>IF(K8="",1,"")</f>
        <v>1</v>
      </c>
      <c r="N8" s="168">
        <f>SUM(J8:J9)/D8*L$4+SUM(J8:J9)</f>
        <v>5.6666666666666671E-2</v>
      </c>
      <c r="O8" s="156"/>
      <c r="P8" s="154"/>
      <c r="Q8" s="171"/>
      <c r="U8">
        <f>COUNTIFS('ליקויים מהמערכת'!$G:$G,$B$1,'ליקויים מהמערכת'!$C:$C,REPLACE(E8,1,0,"ליקוי ל: "))</f>
        <v>2</v>
      </c>
    </row>
    <row r="9" spans="1:21" ht="30" x14ac:dyDescent="0.25">
      <c r="A9" s="148"/>
      <c r="B9" s="151"/>
      <c r="C9" s="159"/>
      <c r="D9" s="161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"))/100/COUNTIFS('ליקויים מהמערכת'!$G:$G,$B$1,'ליקויים מהמערכת'!$C:$C,REPLACE(E9,1,0,"ליקוי ל: ")))</f>
        <v>0.5</v>
      </c>
      <c r="H9" s="20" t="str">
        <f t="shared" si="0"/>
        <v/>
      </c>
      <c r="I9" s="154"/>
      <c r="J9" s="21">
        <f>IFERROR(IF(G9="","",(F9+I$8/COUNT(G$8:G$9))*G9),F9*G9)</f>
        <v>1.4999999999999999E-2</v>
      </c>
      <c r="K9" s="156"/>
      <c r="L9" s="154"/>
      <c r="M9" s="156"/>
      <c r="N9" s="168"/>
      <c r="O9" s="156"/>
      <c r="P9" s="154"/>
      <c r="Q9" s="171"/>
      <c r="U9">
        <f>COUNTIFS('ליקויים מהמערכת'!$G:$G,$B$1,'ליקויים מהמערכת'!$C:$C,REPLACE(E9,1,0,"ליקוי ל: "))</f>
        <v>2</v>
      </c>
    </row>
    <row r="10" spans="1:21" ht="15" x14ac:dyDescent="0.25">
      <c r="A10" s="148"/>
      <c r="B10" s="151"/>
      <c r="C10" s="159" t="s">
        <v>10</v>
      </c>
      <c r="D10" s="161">
        <v>0.04</v>
      </c>
      <c r="E10" s="4" t="s">
        <v>140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"))/100/COUNTIFS('ליקויים מהמערכת'!$G:$G,$B$1,'ליקויים מהמערכת'!$C:$C,REPLACE(E10,1,0,"ליקוי ל: ")))</f>
        <v/>
      </c>
      <c r="H10" s="20">
        <f t="shared" si="0"/>
        <v>0.02</v>
      </c>
      <c r="I10" s="154">
        <f>SUM(H10:H11)</f>
        <v>0.04</v>
      </c>
      <c r="J10" s="21" t="str">
        <f>IFERROR(IF(G10="","",(F10+I$10/COUNT(G$10:G$11))*G10),F10*G10)</f>
        <v/>
      </c>
      <c r="K10" s="154">
        <f>IF(COUNTBLANK(G10:G11)=COUNTA(F10:F11),D10,"")</f>
        <v>0.04</v>
      </c>
      <c r="L10" s="154"/>
      <c r="M10" s="156" t="str">
        <f>IF(K10="",1,"")</f>
        <v/>
      </c>
      <c r="N10" s="168">
        <f>SUM(J10:J11)/D10*L$4+SUM(J10:J11)</f>
        <v>0</v>
      </c>
      <c r="O10" s="156"/>
      <c r="P10" s="154"/>
      <c r="Q10" s="171"/>
      <c r="U10">
        <f>COUNTIFS('ליקויים מהמערכת'!$G:$G,$B$1,'ליקויים מהמערכת'!$C:$C,REPLACE(E10,1,0,"ליקוי ל: "))</f>
        <v>0</v>
      </c>
    </row>
    <row r="11" spans="1:21" ht="15.75" thickBot="1" x14ac:dyDescent="0.3">
      <c r="A11" s="149"/>
      <c r="B11" s="152"/>
      <c r="C11" s="166"/>
      <c r="D11" s="174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"))/100/COUNTIFS('ליקויים מהמערכת'!$G:$G,$B$1,'ליקויים מהמערכת'!$C:$C,REPLACE(E11,1,0,"ליקוי ל: ")))</f>
        <v/>
      </c>
      <c r="H11" s="26">
        <f t="shared" si="0"/>
        <v>0.02</v>
      </c>
      <c r="I11" s="157"/>
      <c r="J11" s="27" t="str">
        <f>IFERROR(IF(G11="","",(F11+I$10/COUNT(G$10:G$11))*G11),F11*G11)</f>
        <v/>
      </c>
      <c r="K11" s="157"/>
      <c r="L11" s="157"/>
      <c r="M11" s="169"/>
      <c r="N11" s="173"/>
      <c r="O11" s="169"/>
      <c r="P11" s="157"/>
      <c r="Q11" s="172"/>
      <c r="U11">
        <f>COUNTIFS('ליקויים מהמערכת'!$G:$G,$B$1,'ליקויים מהמערכת'!$C:$C,REPLACE(E11,1,0,"ליקוי ל: "))</f>
        <v>0</v>
      </c>
    </row>
    <row r="12" spans="1:21" ht="30" x14ac:dyDescent="0.25">
      <c r="A12" s="147" t="s">
        <v>1</v>
      </c>
      <c r="B12" s="150">
        <v>0.36</v>
      </c>
      <c r="C12" s="158" t="s">
        <v>11</v>
      </c>
      <c r="D12" s="160">
        <v>0.22</v>
      </c>
      <c r="E12" s="7" t="s">
        <v>40</v>
      </c>
      <c r="F12" s="14">
        <v>0.03</v>
      </c>
      <c r="G12" s="15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"))/100/COUNTIFS('ליקויים מהמערכת'!$G:$G,$B$1,'ליקויים מהמערכת'!$C:$C,REPLACE(E12,1,0,"ליקוי ל: ")))</f>
        <v>1</v>
      </c>
      <c r="H12" s="16" t="str">
        <f t="shared" si="0"/>
        <v/>
      </c>
      <c r="I12" s="153">
        <f>SUM(H12:H20)</f>
        <v>0.14000000000000001</v>
      </c>
      <c r="J12" s="28">
        <f t="shared" ref="J12:J20" si="1">IFERROR(IF(G12="","",(F12+I$12/COUNT(G$12:G$20))*G12),F12*G12)</f>
        <v>7.6666666666666661E-2</v>
      </c>
      <c r="K12" s="153" t="str">
        <f>IF(COUNTBLANK(G12:G20)=COUNTA(F12:F20),D12,"")</f>
        <v/>
      </c>
      <c r="L12" s="153">
        <f>IFERROR(SUM(K12:K29)/SUM(M12:M29),0)</f>
        <v>1.2500000000000001E-2</v>
      </c>
      <c r="M12" s="155">
        <f>IF(K12="",1,"")</f>
        <v>1</v>
      </c>
      <c r="N12" s="167">
        <f>SUM(J12:J20)/D12*L12+SUM(J12:J20)</f>
        <v>0.16204545454545452</v>
      </c>
      <c r="O12" s="177">
        <f>IF(L12&gt;0,1,IF(SUM(M12:M29)=6,1,""))</f>
        <v>1</v>
      </c>
      <c r="P12" s="153" t="str">
        <f>IF(O12="",B12,"")</f>
        <v/>
      </c>
      <c r="Q12" s="170">
        <f>SUM(P4:P48)/SUM(O4:O48)*(SUM(N12:N29)/B12)+SUM(N12:N29)</f>
        <v>0.28528806584362137</v>
      </c>
      <c r="U12">
        <f>COUNTIFS('ליקויים מהמערכת'!$G:$G,$B$1,'ליקויים מהמערכת'!$C:$C,REPLACE(E12,1,0,"ליקוי ל: "))</f>
        <v>2</v>
      </c>
    </row>
    <row r="13" spans="1:21" ht="15" x14ac:dyDescent="0.25">
      <c r="A13" s="148"/>
      <c r="B13" s="151"/>
      <c r="C13" s="159"/>
      <c r="D13" s="161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"))/100/COUNTIFS('ליקויים מהמערכת'!$G:$G,$B$1,'ליקויים מהמערכת'!$C:$C,REPLACE(E13,1,0,"ליקוי ל: ")))</f>
        <v/>
      </c>
      <c r="H13" s="20">
        <f t="shared" si="0"/>
        <v>0.03</v>
      </c>
      <c r="I13" s="154"/>
      <c r="J13" s="29" t="str">
        <f t="shared" si="1"/>
        <v/>
      </c>
      <c r="K13" s="154"/>
      <c r="L13" s="154"/>
      <c r="M13" s="156"/>
      <c r="N13" s="168"/>
      <c r="O13" s="178"/>
      <c r="P13" s="154"/>
      <c r="Q13" s="171"/>
      <c r="U13">
        <f>COUNTIFS('ליקויים מהמערכת'!$G:$G,$B$1,'ליקויים מהמערכת'!$C:$C,REPLACE(E13,1,0,"ליקוי ל: "))</f>
        <v>0</v>
      </c>
    </row>
    <row r="14" spans="1:21" ht="30" x14ac:dyDescent="0.25">
      <c r="A14" s="148"/>
      <c r="B14" s="151"/>
      <c r="C14" s="159"/>
      <c r="D14" s="161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"))/100/COUNTIFS('ליקויים מהמערכת'!$G:$G,$B$1,'ליקויים מהמערכת'!$C:$C,REPLACE(E14,1,0,"ליקוי ל: ")))</f>
        <v/>
      </c>
      <c r="H14" s="20">
        <f t="shared" si="0"/>
        <v>0.03</v>
      </c>
      <c r="I14" s="154"/>
      <c r="J14" s="29" t="str">
        <f t="shared" si="1"/>
        <v/>
      </c>
      <c r="K14" s="154"/>
      <c r="L14" s="154"/>
      <c r="M14" s="156"/>
      <c r="N14" s="168"/>
      <c r="O14" s="178"/>
      <c r="P14" s="154"/>
      <c r="Q14" s="171"/>
      <c r="U14">
        <f>COUNTIFS('ליקויים מהמערכת'!$G:$G,$B$1,'ליקויים מהמערכת'!$C:$C,REPLACE(E14,1,0,"ליקוי ל: "))</f>
        <v>0</v>
      </c>
    </row>
    <row r="15" spans="1:21" ht="29.25" x14ac:dyDescent="0.2">
      <c r="A15" s="148"/>
      <c r="B15" s="151"/>
      <c r="C15" s="159"/>
      <c r="D15" s="161"/>
      <c r="E15" s="5" t="s">
        <v>45</v>
      </c>
      <c r="F15" s="22">
        <v>0.03</v>
      </c>
      <c r="G15" s="23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"))/100/COUNTIFS('ליקויים מהמערכת'!$G:$G,$B$1,'ליקויים מהמערכת'!$C:$C,REPLACE(E15,1,0,"ליקוי ל: ")))</f>
        <v>1</v>
      </c>
      <c r="H15" s="20" t="str">
        <f t="shared" si="0"/>
        <v/>
      </c>
      <c r="I15" s="154"/>
      <c r="J15" s="29">
        <f t="shared" si="1"/>
        <v>7.6666666666666661E-2</v>
      </c>
      <c r="K15" s="154"/>
      <c r="L15" s="154"/>
      <c r="M15" s="156"/>
      <c r="N15" s="168"/>
      <c r="O15" s="178"/>
      <c r="P15" s="154"/>
      <c r="Q15" s="171"/>
      <c r="U15">
        <f>COUNTIFS('ליקויים מהמערכת'!$G:$G,$B$1,'ליקויים מהמערכת'!$C:$C,REPLACE(E15,1,0,"ליקוי ל: "))</f>
        <v>1</v>
      </c>
    </row>
    <row r="16" spans="1:21" ht="30" x14ac:dyDescent="0.25">
      <c r="A16" s="148"/>
      <c r="B16" s="151"/>
      <c r="C16" s="159"/>
      <c r="D16" s="161"/>
      <c r="E16" s="4" t="s">
        <v>172</v>
      </c>
      <c r="F16" s="22">
        <v>0.02</v>
      </c>
      <c r="G16" s="23" t="str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"))/100/COUNTIFS('ליקויים מהמערכת'!$G:$G,$B$1,'ליקויים מהמערכת'!$C:$C,REPLACE(E16,1,0,"ליקוי ל: ")))</f>
        <v/>
      </c>
      <c r="H16" s="20">
        <f t="shared" si="0"/>
        <v>0.02</v>
      </c>
      <c r="I16" s="154"/>
      <c r="J16" s="29" t="str">
        <f t="shared" si="1"/>
        <v/>
      </c>
      <c r="K16" s="154"/>
      <c r="L16" s="154"/>
      <c r="M16" s="156"/>
      <c r="N16" s="168"/>
      <c r="O16" s="178"/>
      <c r="P16" s="154"/>
      <c r="Q16" s="171"/>
      <c r="U16">
        <f>COUNTIFS('ליקויים מהמערכת'!$G:$G,$B$1,'ליקויים מהמערכת'!$C:$C,REPLACE(E16,1,0,"ליקוי ל: "))</f>
        <v>0</v>
      </c>
    </row>
    <row r="17" spans="1:21" ht="30" x14ac:dyDescent="0.25">
      <c r="A17" s="148"/>
      <c r="B17" s="151"/>
      <c r="C17" s="159"/>
      <c r="D17" s="161"/>
      <c r="E17" s="5" t="s">
        <v>46</v>
      </c>
      <c r="F17" s="22">
        <v>0.02</v>
      </c>
      <c r="G17" s="23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"))/100/COUNTIFS('ליקויים מהמערכת'!$G:$G,$B$1,'ליקויים מהמערכת'!$C:$C,REPLACE(E17,1,0,"ליקוי ל: ")))</f>
        <v>0</v>
      </c>
      <c r="H17" s="20" t="str">
        <f t="shared" si="0"/>
        <v/>
      </c>
      <c r="I17" s="154"/>
      <c r="J17" s="29">
        <f t="shared" si="1"/>
        <v>0</v>
      </c>
      <c r="K17" s="154"/>
      <c r="L17" s="154"/>
      <c r="M17" s="156"/>
      <c r="N17" s="168"/>
      <c r="O17" s="178"/>
      <c r="P17" s="154"/>
      <c r="Q17" s="171"/>
      <c r="U17">
        <f>COUNTIFS('ליקויים מהמערכת'!$G:$G,$B$1,'ליקויים מהמערכת'!$C:$C,REPLACE(E17,1,0,"ליקוי ל: "))</f>
        <v>1</v>
      </c>
    </row>
    <row r="18" spans="1:21" ht="15" x14ac:dyDescent="0.25">
      <c r="A18" s="148"/>
      <c r="B18" s="151"/>
      <c r="C18" s="159"/>
      <c r="D18" s="161"/>
      <c r="E18" s="5" t="s">
        <v>47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"))/100/COUNTIFS('ליקויים מהמערכת'!$G:$G,$B$1,'ליקויים מהמערכת'!$C:$C,REPLACE(E18,1,0,"ליקוי ל: ")))</f>
        <v/>
      </c>
      <c r="H18" s="20">
        <f t="shared" si="0"/>
        <v>0.02</v>
      </c>
      <c r="I18" s="154"/>
      <c r="J18" s="29" t="str">
        <f t="shared" si="1"/>
        <v/>
      </c>
      <c r="K18" s="154"/>
      <c r="L18" s="154"/>
      <c r="M18" s="156"/>
      <c r="N18" s="168"/>
      <c r="O18" s="178"/>
      <c r="P18" s="154"/>
      <c r="Q18" s="171"/>
      <c r="U18">
        <f>COUNTIFS('ליקויים מהמערכת'!$G:$G,$B$1,'ליקויים מהמערכת'!$C:$C,REPLACE(E18,1,0,"ליקוי ל: "))</f>
        <v>0</v>
      </c>
    </row>
    <row r="19" spans="1:21" ht="15" x14ac:dyDescent="0.25">
      <c r="A19" s="148"/>
      <c r="B19" s="151"/>
      <c r="C19" s="159"/>
      <c r="D19" s="161"/>
      <c r="E19" s="5" t="s">
        <v>48</v>
      </c>
      <c r="F19" s="22">
        <v>0.02</v>
      </c>
      <c r="G19" s="23" t="str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"))/100/COUNTIFS('ליקויים מהמערכת'!$G:$G,$B$1,'ליקויים מהמערכת'!$C:$C,REPLACE(E19,1,0,"ליקוי ל: ")))</f>
        <v/>
      </c>
      <c r="H19" s="20">
        <f t="shared" si="0"/>
        <v>0.02</v>
      </c>
      <c r="I19" s="154"/>
      <c r="J19" s="29" t="str">
        <f t="shared" si="1"/>
        <v/>
      </c>
      <c r="K19" s="154"/>
      <c r="L19" s="154"/>
      <c r="M19" s="156"/>
      <c r="N19" s="168"/>
      <c r="O19" s="178"/>
      <c r="P19" s="154"/>
      <c r="Q19" s="171"/>
      <c r="U19">
        <f>COUNTIFS('ליקויים מהמערכת'!$G:$G,$B$1,'ליקויים מהמערכת'!$C:$C,REPLACE(E19,1,0,"ליקוי ל: "))</f>
        <v>0</v>
      </c>
    </row>
    <row r="20" spans="1:21" ht="30" x14ac:dyDescent="0.25">
      <c r="A20" s="148"/>
      <c r="B20" s="151"/>
      <c r="C20" s="159"/>
      <c r="D20" s="161"/>
      <c r="E20" s="4" t="s">
        <v>141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"))/100/COUNTIFS('ליקויים מהמערכת'!$G:$G,$B$1,'ליקויים מהמערכת'!$C:$C,REPLACE(E20,1,0,"ליקוי ל: ")))</f>
        <v/>
      </c>
      <c r="H20" s="20">
        <f t="shared" si="0"/>
        <v>0.02</v>
      </c>
      <c r="I20" s="154"/>
      <c r="J20" s="29" t="str">
        <f t="shared" si="1"/>
        <v/>
      </c>
      <c r="K20" s="154"/>
      <c r="L20" s="154"/>
      <c r="M20" s="156"/>
      <c r="N20" s="168"/>
      <c r="O20" s="178"/>
      <c r="P20" s="154"/>
      <c r="Q20" s="171"/>
      <c r="U20">
        <f>COUNTIFS('ליקויים מהמערכת'!$G:$G,$B$1,'ליקויים מהמערכת'!$C:$C,REPLACE(E20,1,0,"ליקוי ל: "))</f>
        <v>0</v>
      </c>
    </row>
    <row r="21" spans="1:21" ht="30" x14ac:dyDescent="0.25">
      <c r="A21" s="148"/>
      <c r="B21" s="151"/>
      <c r="C21" s="159" t="s">
        <v>12</v>
      </c>
      <c r="D21" s="161">
        <v>0.04</v>
      </c>
      <c r="E21" s="5" t="s">
        <v>49</v>
      </c>
      <c r="F21" s="22">
        <v>0.02</v>
      </c>
      <c r="G21" s="23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"))/100/COUNTIFS('ליקויים מהמערכת'!$G:$G,$B$1,'ליקויים מהמערכת'!$C:$C,REPLACE(E21,1,0,"ליקוי ל: ")))</f>
        <v>1</v>
      </c>
      <c r="H21" s="20" t="str">
        <f t="shared" si="0"/>
        <v/>
      </c>
      <c r="I21" s="154">
        <f>SUM(H21:H22)</f>
        <v>0.02</v>
      </c>
      <c r="J21" s="29">
        <f>IFERROR(IF(G21="","",(F21+I$21/COUNT(G$21:G$22))*G21),F21*G21)</f>
        <v>0.04</v>
      </c>
      <c r="K21" s="154" t="str">
        <f>IF(COUNTBLANK(G21:G22)=COUNTA(F21:F22),D21,"")</f>
        <v/>
      </c>
      <c r="L21" s="154"/>
      <c r="M21" s="156">
        <f>IF(K21="",1,"")</f>
        <v>1</v>
      </c>
      <c r="N21" s="168">
        <f>SUM(J21:J22)/D21*L12+SUM(J21:J22)</f>
        <v>5.2500000000000005E-2</v>
      </c>
      <c r="O21" s="178"/>
      <c r="P21" s="154"/>
      <c r="Q21" s="171"/>
      <c r="U21">
        <f>COUNTIFS('ליקויים מהמערכת'!$G:$G,$B$1,'ליקויים מהמערכת'!$C:$C,REPLACE(E21,1,0,"ליקוי ל: "))</f>
        <v>1</v>
      </c>
    </row>
    <row r="22" spans="1:21" ht="15" x14ac:dyDescent="0.25">
      <c r="A22" s="148"/>
      <c r="B22" s="151"/>
      <c r="C22" s="159"/>
      <c r="D22" s="161"/>
      <c r="E22" s="4" t="s">
        <v>142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"))/100/COUNTIFS('ליקויים מהמערכת'!$G:$G,$B$1,'ליקויים מהמערכת'!$C:$C,REPLACE(E22,1,0,"ליקוי ל: ")))</f>
        <v/>
      </c>
      <c r="H22" s="20">
        <f t="shared" si="0"/>
        <v>0.02</v>
      </c>
      <c r="I22" s="154"/>
      <c r="J22" s="29" t="str">
        <f>IFERROR(IF(G22="","",(F22+I$21/COUNT(G$21:G$22))*G22),F22*G22)</f>
        <v/>
      </c>
      <c r="K22" s="154"/>
      <c r="L22" s="154"/>
      <c r="M22" s="156"/>
      <c r="N22" s="168"/>
      <c r="O22" s="178"/>
      <c r="P22" s="154"/>
      <c r="Q22" s="171"/>
      <c r="U22">
        <f>COUNTIFS('ליקויים מהמערכת'!$G:$G,$B$1,'ליקויים מהמערכת'!$C:$C,REPLACE(E22,1,0,"ליקוי ל: "))</f>
        <v>0</v>
      </c>
    </row>
    <row r="23" spans="1:21" ht="30" x14ac:dyDescent="0.25">
      <c r="A23" s="148"/>
      <c r="B23" s="151"/>
      <c r="C23" s="6" t="s">
        <v>13</v>
      </c>
      <c r="D23" s="54">
        <v>0.02</v>
      </c>
      <c r="E23" s="4" t="s">
        <v>43</v>
      </c>
      <c r="F23" s="18">
        <v>0.02</v>
      </c>
      <c r="G23" s="23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"))/100/COUNTIFS('ליקויים מהמערכת'!$G:$G,$B$1,'ליקויים מהמערכת'!$C:$C,REPLACE(E23,1,0,"ליקוי ל: ")))</f>
        <v>1</v>
      </c>
      <c r="H23" s="20" t="str">
        <f t="shared" si="0"/>
        <v/>
      </c>
      <c r="I23" s="20" t="str">
        <f>H23</f>
        <v/>
      </c>
      <c r="J23" s="29">
        <f>IF(G23="","",F23*G23)</f>
        <v>0.02</v>
      </c>
      <c r="K23" s="20" t="str">
        <f>H23</f>
        <v/>
      </c>
      <c r="L23" s="154"/>
      <c r="M23" s="30">
        <f>IF(K23="",1,"")</f>
        <v>1</v>
      </c>
      <c r="N23" s="29">
        <f>SUM(J23)/D23*L12+SUM(J23)</f>
        <v>3.2500000000000001E-2</v>
      </c>
      <c r="O23" s="178"/>
      <c r="P23" s="154"/>
      <c r="Q23" s="171"/>
      <c r="U23">
        <f>COUNTIFS('ליקויים מהמערכת'!$G:$G,$B$1,'ליקויים מהמערכת'!$C:$C,REPLACE(E23,1,0,"ליקוי ל: "))</f>
        <v>2</v>
      </c>
    </row>
    <row r="24" spans="1:21" ht="15" x14ac:dyDescent="0.25">
      <c r="A24" s="148"/>
      <c r="B24" s="151"/>
      <c r="C24" s="6" t="s">
        <v>14</v>
      </c>
      <c r="D24" s="54">
        <v>0.02</v>
      </c>
      <c r="E24" s="4" t="s">
        <v>143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"))/100/COUNTIFS('ליקויים מהמערכת'!$G:$G,$B$1,'ליקויים מהמערכת'!$C:$C,REPLACE(E24,1,0,"ליקוי ל: ")))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54"/>
      <c r="M24" s="30" t="str">
        <f>IF(K24="",1,"")</f>
        <v/>
      </c>
      <c r="N24" s="29">
        <f>SUM(J24)/D24*L12+SUM(J24)</f>
        <v>0</v>
      </c>
      <c r="O24" s="178"/>
      <c r="P24" s="154"/>
      <c r="Q24" s="171"/>
      <c r="U24">
        <f>COUNTIFS('ליקויים מהמערכת'!$G:$G,$B$1,'ליקויים מהמערכת'!$C:$C,REPLACE(E24,1,0,"ליקוי ל: "))</f>
        <v>0</v>
      </c>
    </row>
    <row r="25" spans="1:21" ht="15" x14ac:dyDescent="0.25">
      <c r="A25" s="148"/>
      <c r="B25" s="151"/>
      <c r="C25" s="159" t="s">
        <v>15</v>
      </c>
      <c r="D25" s="161">
        <v>0.03</v>
      </c>
      <c r="E25" s="5" t="s">
        <v>144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"))/100/COUNTIFS('ליקויים מהמערכת'!$G:$G,$B$1,'ליקויים מהמערכת'!$C:$C,REPLACE(E25,1,0,"ליקוי ל: ")))</f>
        <v/>
      </c>
      <c r="H25" s="20">
        <f t="shared" si="0"/>
        <v>0.02</v>
      </c>
      <c r="I25" s="154">
        <f>SUM(H25:H26)</f>
        <v>0.03</v>
      </c>
      <c r="J25" s="29" t="str">
        <f>IFERROR(IF(G25="","",(F25+I$25/COUNT(G$25:G$26))*G25),F25*G25)</f>
        <v/>
      </c>
      <c r="K25" s="154">
        <f>IF(COUNTBLANK(G25:G26)=COUNTA(F25:F26),D25,"")</f>
        <v>0.03</v>
      </c>
      <c r="L25" s="154"/>
      <c r="M25" s="156" t="str">
        <f>IF(K25="",1,"")</f>
        <v/>
      </c>
      <c r="N25" s="168">
        <f>SUM(J25:J26)/D25*L12+SUM(J25:J26)</f>
        <v>0</v>
      </c>
      <c r="O25" s="178"/>
      <c r="P25" s="154"/>
      <c r="Q25" s="171"/>
      <c r="U25">
        <f>COUNTIFS('ליקויים מהמערכת'!$G:$G,$B$1,'ליקויים מהמערכת'!$C:$C,REPLACE(E25,1,0,"ליקוי ל: "))</f>
        <v>0</v>
      </c>
    </row>
    <row r="26" spans="1:21" ht="30" x14ac:dyDescent="0.25">
      <c r="A26" s="148"/>
      <c r="B26" s="151"/>
      <c r="C26" s="159"/>
      <c r="D26" s="161"/>
      <c r="E26" s="5" t="s">
        <v>50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"))/100/COUNTIFS('ליקויים מהמערכת'!$G:$G,$B$1,'ליקויים מהמערכת'!$C:$C,REPLACE(E26,1,0,"ליקוי ל: ")))</f>
        <v/>
      </c>
      <c r="H26" s="20">
        <f t="shared" si="0"/>
        <v>0.01</v>
      </c>
      <c r="I26" s="154"/>
      <c r="J26" s="29" t="str">
        <f>IFERROR(IF(G26="","",(F26+I$25/COUNT(G$25:G$26))*G26),F26*G26)</f>
        <v/>
      </c>
      <c r="K26" s="154"/>
      <c r="L26" s="154"/>
      <c r="M26" s="156"/>
      <c r="N26" s="168"/>
      <c r="O26" s="178"/>
      <c r="P26" s="154"/>
      <c r="Q26" s="171"/>
      <c r="U26">
        <f>COUNTIFS('ליקויים מהמערכת'!$G:$G,$B$1,'ליקויים מהמערכת'!$C:$C,REPLACE(E26,1,0,"ליקוי ל: "))</f>
        <v>0</v>
      </c>
    </row>
    <row r="27" spans="1:21" ht="15" x14ac:dyDescent="0.25">
      <c r="A27" s="148"/>
      <c r="B27" s="151"/>
      <c r="C27" s="175" t="s">
        <v>16</v>
      </c>
      <c r="D27" s="151">
        <v>0.03</v>
      </c>
      <c r="E27" s="4" t="s">
        <v>174</v>
      </c>
      <c r="F27" s="22">
        <v>0.01</v>
      </c>
      <c r="G27" s="23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"))/100/COUNTIFS('ליקויים מהמערכת'!$G:$G,$B$1,'ליקויים מהמערכת'!$C:$C,REPLACE(E27,1,0,"ליקוי ל: ")))</f>
        <v>0.33333333333333331</v>
      </c>
      <c r="H27" s="20" t="str">
        <f t="shared" si="0"/>
        <v/>
      </c>
      <c r="I27" s="154">
        <f>SUM(H27:H29)</f>
        <v>0</v>
      </c>
      <c r="J27" s="29">
        <f>IFERROR(IF(G27="","",(F27+I$27/COUNT(G$27:G$29))*G27),F27*G27)</f>
        <v>3.3333333333333331E-3</v>
      </c>
      <c r="K27" s="154" t="str">
        <f>IF(COUNTBLANK(G27:G29)=COUNTA(F27:F29),D27,"")</f>
        <v/>
      </c>
      <c r="L27" s="154"/>
      <c r="M27" s="156">
        <f>IF(K27="",1,"")</f>
        <v>1</v>
      </c>
      <c r="N27" s="168">
        <f>SUM(J27:J29)/D27*L12+SUM(J27:J29)</f>
        <v>3.3055555555555553E-2</v>
      </c>
      <c r="O27" s="178"/>
      <c r="P27" s="154"/>
      <c r="Q27" s="171"/>
      <c r="U27">
        <f>COUNTIFS('ליקויים מהמערכת'!$G:$G,$B$1,'ליקויים מהמערכת'!$C:$C,REPLACE(E27,1,0,"ליקוי ל: "))</f>
        <v>3</v>
      </c>
    </row>
    <row r="28" spans="1:21" ht="15" x14ac:dyDescent="0.25">
      <c r="A28" s="148"/>
      <c r="B28" s="151"/>
      <c r="C28" s="175"/>
      <c r="D28" s="151"/>
      <c r="E28" s="4" t="s">
        <v>173</v>
      </c>
      <c r="F28" s="22">
        <v>0.01</v>
      </c>
      <c r="G28" s="23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"))/100/COUNTIFS('ליקויים מהמערכת'!$G:$G,$B$1,'ליקויים מהמערכת'!$C:$C,REPLACE(E28,1,0,"ליקוי ל: ")))</f>
        <v>1</v>
      </c>
      <c r="H28" s="20" t="str">
        <f t="shared" si="0"/>
        <v/>
      </c>
      <c r="I28" s="154"/>
      <c r="J28" s="29">
        <f>IFERROR(IF(G28="","",(F28+I$27/COUNT(G$27:G$29))*G28),F28*G28)</f>
        <v>0.01</v>
      </c>
      <c r="K28" s="154"/>
      <c r="L28" s="154"/>
      <c r="M28" s="156"/>
      <c r="N28" s="168"/>
      <c r="O28" s="178"/>
      <c r="P28" s="154"/>
      <c r="Q28" s="171"/>
      <c r="U28">
        <f>COUNTIFS('ליקויים מהמערכת'!$G:$G,$B$1,'ליקויים מהמערכת'!$C:$C,REPLACE(E28,1,0,"ליקוי ל: "))</f>
        <v>3</v>
      </c>
    </row>
    <row r="29" spans="1:21" ht="15.75" thickBot="1" x14ac:dyDescent="0.3">
      <c r="A29" s="149"/>
      <c r="B29" s="152"/>
      <c r="C29" s="176"/>
      <c r="D29" s="152"/>
      <c r="E29" s="8" t="s">
        <v>145</v>
      </c>
      <c r="F29" s="24">
        <v>0.01</v>
      </c>
      <c r="G29" s="31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"))/100/COUNTIFS('ליקויים מהמערכת'!$G:$G,$B$1,'ליקויים מהמערכת'!$C:$C,REPLACE(E29,1,0,"ליקוי ל: ")))</f>
        <v>1</v>
      </c>
      <c r="H29" s="26" t="str">
        <f t="shared" si="0"/>
        <v/>
      </c>
      <c r="I29" s="157"/>
      <c r="J29" s="32">
        <f>IFERROR(IF(G29="","",(F29+I$27/COUNT(G$27:G$29))*G29),F29*G29)</f>
        <v>0.01</v>
      </c>
      <c r="K29" s="157"/>
      <c r="L29" s="157"/>
      <c r="M29" s="169"/>
      <c r="N29" s="173"/>
      <c r="O29" s="179"/>
      <c r="P29" s="157"/>
      <c r="Q29" s="172"/>
      <c r="U29">
        <f>COUNTIFS('ליקויים מהמערכת'!$G:$G,$B$1,'ליקויים מהמערכת'!$C:$C,REPLACE(E29,1,0,"ליקוי ל: "))</f>
        <v>3</v>
      </c>
    </row>
    <row r="30" spans="1:21" ht="30" x14ac:dyDescent="0.25">
      <c r="A30" s="147" t="s">
        <v>2</v>
      </c>
      <c r="B30" s="150">
        <v>0.08</v>
      </c>
      <c r="C30" s="42" t="s">
        <v>17</v>
      </c>
      <c r="D30" s="55">
        <v>0.02</v>
      </c>
      <c r="E30" s="7" t="s">
        <v>146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"))/100/COUNTIFS('ליקויים מהמערכת'!$G:$G,$B$1,'ליקויים מהמערכת'!$C:$C,REPLACE(E30,1,0,"ליקוי ל: ")))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53">
        <f>IFERROR(SUM(K30:K33)/SUM(M30:M33),0)</f>
        <v>6.6666666666666671E-3</v>
      </c>
      <c r="M30" s="35" t="str">
        <f t="shared" ref="M30:M48" si="5">IF(K30="",1,"")</f>
        <v/>
      </c>
      <c r="N30" s="28">
        <f>SUM(J30)/D30*L30+SUM(J30)</f>
        <v>0</v>
      </c>
      <c r="O30" s="155">
        <f>IF(L30&gt;0,1,IF(SUM(M30:M33)=4,1,""))</f>
        <v>1</v>
      </c>
      <c r="P30" s="155" t="str">
        <f>IF(O30="",B30,"")</f>
        <v/>
      </c>
      <c r="Q30" s="170">
        <f>SUM(P4:P48)/SUM(O4:O48)*(SUM(N30:N33)/B30)+SUM(N30:N33)</f>
        <v>6.2592592592592589E-2</v>
      </c>
      <c r="U30">
        <f>COUNTIFS('ליקויים מהמערכת'!$G:$G,$B$1,'ליקויים מהמערכת'!$C:$C,REPLACE(E30,1,0,"ליקוי ל: "))</f>
        <v>0</v>
      </c>
    </row>
    <row r="31" spans="1:21" ht="30" x14ac:dyDescent="0.25">
      <c r="A31" s="148"/>
      <c r="B31" s="151"/>
      <c r="C31" s="43" t="s">
        <v>18</v>
      </c>
      <c r="D31" s="56">
        <v>0.02</v>
      </c>
      <c r="E31" s="4" t="s">
        <v>147</v>
      </c>
      <c r="F31" s="22">
        <v>0.02</v>
      </c>
      <c r="G31" s="23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"))/100/COUNTIFS('ליקויים מהמערכת'!$G:$G,$B$1,'ליקויים מהמערכת'!$C:$C,REPLACE(E31,1,0,"ליקוי ל: ")))</f>
        <v>1</v>
      </c>
      <c r="H31" s="20" t="str">
        <f t="shared" si="0"/>
        <v/>
      </c>
      <c r="I31" s="20" t="str">
        <f t="shared" si="2"/>
        <v/>
      </c>
      <c r="J31" s="29">
        <f t="shared" si="3"/>
        <v>0.02</v>
      </c>
      <c r="K31" s="20" t="str">
        <f t="shared" si="4"/>
        <v/>
      </c>
      <c r="L31" s="154"/>
      <c r="M31" s="30">
        <f t="shared" si="5"/>
        <v>1</v>
      </c>
      <c r="N31" s="29">
        <f>SUM(J31)/D31*L30+SUM(J31)</f>
        <v>2.6666666666666668E-2</v>
      </c>
      <c r="O31" s="156"/>
      <c r="P31" s="156"/>
      <c r="Q31" s="171"/>
      <c r="U31">
        <f>COUNTIFS('ליקויים מהמערכת'!$G:$G,$B$1,'ליקויים מהמערכת'!$C:$C,REPLACE(E31,1,0,"ליקוי ל: "))</f>
        <v>2</v>
      </c>
    </row>
    <row r="32" spans="1:21" ht="30" x14ac:dyDescent="0.25">
      <c r="A32" s="148"/>
      <c r="B32" s="151"/>
      <c r="C32" s="43" t="s">
        <v>19</v>
      </c>
      <c r="D32" s="56">
        <v>0.02</v>
      </c>
      <c r="E32" s="5" t="s">
        <v>51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"))/100/COUNTIFS('ליקויים מהמערכת'!$G:$G,$B$1,'ליקויים מהמערכת'!$C:$C,REPLACE(E32,1,0,"ליקוי ל: ")))</f>
        <v>0.5</v>
      </c>
      <c r="H32" s="20" t="str">
        <f t="shared" si="0"/>
        <v/>
      </c>
      <c r="I32" s="20" t="str">
        <f t="shared" si="2"/>
        <v/>
      </c>
      <c r="J32" s="21">
        <f t="shared" si="3"/>
        <v>0.01</v>
      </c>
      <c r="K32" s="20" t="str">
        <f t="shared" si="4"/>
        <v/>
      </c>
      <c r="L32" s="154"/>
      <c r="M32" s="30">
        <f t="shared" si="5"/>
        <v>1</v>
      </c>
      <c r="N32" s="21">
        <f>SUM(J32)/D32*L30+SUM(J32)</f>
        <v>1.3333333333333334E-2</v>
      </c>
      <c r="O32" s="156"/>
      <c r="P32" s="156"/>
      <c r="Q32" s="171"/>
      <c r="U32">
        <f>COUNTIFS('ליקויים מהמערכת'!$G:$G,$B$1,'ליקויים מהמערכת'!$C:$C,REPLACE(E32,1,0,"ליקוי ל: "))</f>
        <v>1</v>
      </c>
    </row>
    <row r="33" spans="1:21" ht="15.75" thickBot="1" x14ac:dyDescent="0.3">
      <c r="A33" s="149"/>
      <c r="B33" s="152"/>
      <c r="C33" s="44" t="s">
        <v>20</v>
      </c>
      <c r="D33" s="57">
        <v>0.02</v>
      </c>
      <c r="E33" s="8" t="s">
        <v>148</v>
      </c>
      <c r="F33" s="36">
        <v>0.02</v>
      </c>
      <c r="G33" s="31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"))/100/COUNTIFS('ליקויים מהמערכת'!$G:$G,$B$1,'ליקויים מהמערכת'!$C:$C,REPLACE(E33,1,0,"ליקוי ל: ")))</f>
        <v>0.66666666666666663</v>
      </c>
      <c r="H33" s="26" t="str">
        <f t="shared" si="0"/>
        <v/>
      </c>
      <c r="I33" s="26" t="str">
        <f t="shared" si="2"/>
        <v/>
      </c>
      <c r="J33" s="32">
        <f t="shared" si="3"/>
        <v>1.3333333333333332E-2</v>
      </c>
      <c r="K33" s="26" t="str">
        <f t="shared" si="4"/>
        <v/>
      </c>
      <c r="L33" s="157"/>
      <c r="M33" s="37">
        <f t="shared" si="5"/>
        <v>1</v>
      </c>
      <c r="N33" s="32">
        <f>SUM(J33)/D33*L30+SUM(J33)</f>
        <v>1.7777777777777778E-2</v>
      </c>
      <c r="O33" s="169"/>
      <c r="P33" s="169"/>
      <c r="Q33" s="172"/>
      <c r="U33">
        <f>COUNTIFS('ליקויים מהמערכת'!$G:$G,$B$1,'ליקויים מהמערכת'!$C:$C,REPLACE(E33,1,0,"ליקוי ל: "))</f>
        <v>3</v>
      </c>
    </row>
    <row r="34" spans="1:21" ht="30" x14ac:dyDescent="0.25">
      <c r="A34" s="147" t="s">
        <v>3</v>
      </c>
      <c r="B34" s="150">
        <v>7.0000000000000007E-2</v>
      </c>
      <c r="C34" s="42" t="s">
        <v>21</v>
      </c>
      <c r="D34" s="55">
        <v>0.02</v>
      </c>
      <c r="E34" s="7" t="s">
        <v>149</v>
      </c>
      <c r="F34" s="33">
        <v>0.02</v>
      </c>
      <c r="G34" s="34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"))/100/COUNTIFS('ליקויים מהמערכת'!$G:$G,$B$1,'ליקויים מהמערכת'!$C:$C,REPLACE(E34,1,0,"ליקוי ל: ")))</f>
        <v>1</v>
      </c>
      <c r="H34" s="16" t="str">
        <f t="shared" si="0"/>
        <v/>
      </c>
      <c r="I34" s="16" t="str">
        <f t="shared" si="2"/>
        <v/>
      </c>
      <c r="J34" s="28">
        <f t="shared" si="3"/>
        <v>0.02</v>
      </c>
      <c r="K34" s="16" t="str">
        <f t="shared" si="4"/>
        <v/>
      </c>
      <c r="L34" s="153">
        <f>IFERROR(SUM(K34:K38)/SUM(M34:M38),0)</f>
        <v>2.5000000000000001E-3</v>
      </c>
      <c r="M34" s="35">
        <f t="shared" si="5"/>
        <v>1</v>
      </c>
      <c r="N34" s="28">
        <f>SUM(J34)/D34*L34+SUM(J34)</f>
        <v>2.2499999999999999E-2</v>
      </c>
      <c r="O34" s="155">
        <f>IF(L34&gt;0,1,IF(SUM(M34:M38)=5,1,""))</f>
        <v>1</v>
      </c>
      <c r="P34" s="155" t="str">
        <f>IF(O34="",B34,"")</f>
        <v/>
      </c>
      <c r="Q34" s="170">
        <f>SUM(P4:P48)/SUM(O4:O48)*(SUM(N34:N38)/B34)+SUM(N34:N38)</f>
        <v>7.6666666666666661E-2</v>
      </c>
      <c r="U34">
        <f>COUNTIFS('ליקויים מהמערכת'!$G:$G,$B$1,'ליקויים מהמערכת'!$C:$C,REPLACE(E34,1,0,"ליקוי ל: "))</f>
        <v>1</v>
      </c>
    </row>
    <row r="35" spans="1:21" ht="30" x14ac:dyDescent="0.25">
      <c r="A35" s="148"/>
      <c r="B35" s="151"/>
      <c r="C35" s="43" t="s">
        <v>22</v>
      </c>
      <c r="D35" s="56">
        <v>0.02</v>
      </c>
      <c r="E35" s="4" t="s">
        <v>150</v>
      </c>
      <c r="F35" s="22">
        <v>0.02</v>
      </c>
      <c r="G35" s="23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"))/100/COUNTIFS('ליקויים מהמערכת'!$G:$G,$B$1,'ליקויים מהמערכת'!$C:$C,REPLACE(E35,1,0,"ליקוי ל: ")))</f>
        <v>1</v>
      </c>
      <c r="H35" s="20" t="str">
        <f t="shared" si="0"/>
        <v/>
      </c>
      <c r="I35" s="20" t="str">
        <f t="shared" si="2"/>
        <v/>
      </c>
      <c r="J35" s="29">
        <f t="shared" si="3"/>
        <v>0.02</v>
      </c>
      <c r="K35" s="20" t="str">
        <f t="shared" si="4"/>
        <v/>
      </c>
      <c r="L35" s="154"/>
      <c r="M35" s="30">
        <f t="shared" si="5"/>
        <v>1</v>
      </c>
      <c r="N35" s="29">
        <f>SUM(J35)/D35*L34+SUM(J35)</f>
        <v>2.2499999999999999E-2</v>
      </c>
      <c r="O35" s="156"/>
      <c r="P35" s="156"/>
      <c r="Q35" s="171"/>
      <c r="U35">
        <f>COUNTIFS('ליקויים מהמערכת'!$G:$G,$B$1,'ליקויים מהמערכת'!$C:$C,REPLACE(E35,1,0,"ליקוי ל: "))</f>
        <v>1</v>
      </c>
    </row>
    <row r="36" spans="1:21" ht="15" x14ac:dyDescent="0.25">
      <c r="A36" s="148"/>
      <c r="B36" s="151"/>
      <c r="C36" s="43" t="s">
        <v>23</v>
      </c>
      <c r="D36" s="56">
        <v>0.01</v>
      </c>
      <c r="E36" s="4" t="s">
        <v>151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"))/100/COUNTIFS('ליקויים מהמערכת'!$G:$G,$B$1,'ליקויים מהמערכת'!$C:$C,REPLACE(E36,1,0,"ליקוי ל: ")))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54"/>
      <c r="M36" s="30" t="str">
        <f t="shared" si="5"/>
        <v/>
      </c>
      <c r="N36" s="29">
        <f>SUM(J36)/D36*L34+SUM(J36)</f>
        <v>0</v>
      </c>
      <c r="O36" s="156"/>
      <c r="P36" s="156"/>
      <c r="Q36" s="171"/>
      <c r="U36">
        <f>COUNTIFS('ליקויים מהמערכת'!$G:$G,$B$1,'ליקויים מהמערכת'!$C:$C,REPLACE(E36,1,0,"ליקוי ל: "))</f>
        <v>0</v>
      </c>
    </row>
    <row r="37" spans="1:21" ht="15" x14ac:dyDescent="0.25">
      <c r="A37" s="148"/>
      <c r="B37" s="151"/>
      <c r="C37" s="43" t="s">
        <v>24</v>
      </c>
      <c r="D37" s="56">
        <v>0.01</v>
      </c>
      <c r="E37" s="4" t="s">
        <v>152</v>
      </c>
      <c r="F37" s="22">
        <v>0.01</v>
      </c>
      <c r="G37" s="23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"))/100/COUNTIFS('ליקויים מהמערכת'!$G:$G,$B$1,'ליקויים מהמערכת'!$C:$C,REPLACE(E37,1,0,"ליקוי ל: ")))</f>
        <v>1</v>
      </c>
      <c r="H37" s="20" t="str">
        <f t="shared" si="0"/>
        <v/>
      </c>
      <c r="I37" s="20" t="str">
        <f t="shared" si="2"/>
        <v/>
      </c>
      <c r="J37" s="29">
        <f t="shared" si="3"/>
        <v>0.01</v>
      </c>
      <c r="K37" s="20" t="str">
        <f t="shared" si="4"/>
        <v/>
      </c>
      <c r="L37" s="154"/>
      <c r="M37" s="30">
        <f t="shared" si="5"/>
        <v>1</v>
      </c>
      <c r="N37" s="29">
        <f>SUM(J37)/D37*L34+SUM(J37)</f>
        <v>1.2500000000000001E-2</v>
      </c>
      <c r="O37" s="156"/>
      <c r="P37" s="156"/>
      <c r="Q37" s="171"/>
      <c r="U37">
        <f>COUNTIFS('ליקויים מהמערכת'!$G:$G,$B$1,'ליקויים מהמערכת'!$C:$C,REPLACE(E37,1,0,"ליקוי ל: "))</f>
        <v>3</v>
      </c>
    </row>
    <row r="38" spans="1:21" ht="15.75" thickBot="1" x14ac:dyDescent="0.3">
      <c r="A38" s="149"/>
      <c r="B38" s="152"/>
      <c r="C38" s="44" t="s">
        <v>25</v>
      </c>
      <c r="D38" s="57">
        <v>0.01</v>
      </c>
      <c r="E38" s="8" t="s">
        <v>153</v>
      </c>
      <c r="F38" s="36">
        <v>0.01</v>
      </c>
      <c r="G38" s="31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"))/100/COUNTIFS('ליקויים מהמערכת'!$G:$G,$B$1,'ליקויים מהמערכת'!$C:$C,REPLACE(E38,1,0,"ליקוי ל: ")))</f>
        <v>1</v>
      </c>
      <c r="H38" s="26" t="str">
        <f t="shared" si="0"/>
        <v/>
      </c>
      <c r="I38" s="26" t="str">
        <f t="shared" si="2"/>
        <v/>
      </c>
      <c r="J38" s="32">
        <f t="shared" si="3"/>
        <v>0.01</v>
      </c>
      <c r="K38" s="26" t="str">
        <f t="shared" si="4"/>
        <v/>
      </c>
      <c r="L38" s="157"/>
      <c r="M38" s="37">
        <f t="shared" si="5"/>
        <v>1</v>
      </c>
      <c r="N38" s="32">
        <f>SUM(J38)/D38*L34+SUM(J38)</f>
        <v>1.2500000000000001E-2</v>
      </c>
      <c r="O38" s="169"/>
      <c r="P38" s="169"/>
      <c r="Q38" s="172"/>
      <c r="U38">
        <f>COUNTIFS('ליקויים מהמערכת'!$G:$G,$B$1,'ליקויים מהמערכת'!$C:$C,REPLACE(E38,1,0,"ליקוי ל: "))</f>
        <v>3</v>
      </c>
    </row>
    <row r="39" spans="1:21" ht="15" x14ac:dyDescent="0.25">
      <c r="A39" s="147" t="s">
        <v>4</v>
      </c>
      <c r="B39" s="150">
        <v>0.05</v>
      </c>
      <c r="C39" s="45" t="s">
        <v>26</v>
      </c>
      <c r="D39" s="58">
        <v>0.03</v>
      </c>
      <c r="E39" s="7" t="s">
        <v>154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"))/100/COUNTIFS('ליקויים מהמערכת'!$G:$G,$B$1,'ליקויים מהמערכת'!$C:$C,REPLACE(E39,1,0,"ליקוי ל: ")))</f>
        <v>0.83333333333333337</v>
      </c>
      <c r="H39" s="16" t="str">
        <f t="shared" si="0"/>
        <v/>
      </c>
      <c r="I39" s="16" t="str">
        <f t="shared" si="2"/>
        <v/>
      </c>
      <c r="J39" s="28">
        <f t="shared" si="3"/>
        <v>2.5000000000000001E-2</v>
      </c>
      <c r="K39" s="16" t="str">
        <f t="shared" si="4"/>
        <v/>
      </c>
      <c r="L39" s="153">
        <f>IFERROR(SUM(K39:K41)/SUM(M39:M41),0)</f>
        <v>5.0000000000000001E-3</v>
      </c>
      <c r="M39" s="35">
        <f t="shared" si="5"/>
        <v>1</v>
      </c>
      <c r="N39" s="28">
        <f>SUM(J39)/D39*L39+SUM(J39)</f>
        <v>2.9166666666666667E-2</v>
      </c>
      <c r="O39" s="155">
        <f>IF(L39&gt;0,1,IF(SUM(M39:M41)=3,1,""))</f>
        <v>1</v>
      </c>
      <c r="P39" s="155" t="str">
        <f>IF(O39="",B39,"")</f>
        <v/>
      </c>
      <c r="Q39" s="170">
        <f>SUM(P4:P48)/SUM(O4:O48)*(SUM(N39:N41)/B39)+SUM(N39:N41)</f>
        <v>5.0055555555555555E-2</v>
      </c>
      <c r="U39">
        <f>COUNTIFS('ליקויים מהמערכת'!$G:$G,$B$1,'ליקויים מהמערכת'!$C:$C,REPLACE(E39,1,0,"ליקוי ל: "))</f>
        <v>3</v>
      </c>
    </row>
    <row r="40" spans="1:21" ht="15" x14ac:dyDescent="0.25">
      <c r="A40" s="148"/>
      <c r="B40" s="151"/>
      <c r="C40" s="46" t="s">
        <v>27</v>
      </c>
      <c r="D40" s="59">
        <v>0.01</v>
      </c>
      <c r="E40" s="4" t="s">
        <v>155</v>
      </c>
      <c r="F40" s="22">
        <v>0.01</v>
      </c>
      <c r="G40" s="23" t="str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"))/100/COUNTIFS('ליקויים מהמערכת'!$G:$G,$B$1,'ליקויים מהמערכת'!$C:$C,REPLACE(E40,1,0,"ליקוי ל: ")))</f>
        <v/>
      </c>
      <c r="H40" s="20">
        <f t="shared" si="0"/>
        <v>0.01</v>
      </c>
      <c r="I40" s="20">
        <f t="shared" si="2"/>
        <v>0.01</v>
      </c>
      <c r="J40" s="29" t="str">
        <f t="shared" si="3"/>
        <v/>
      </c>
      <c r="K40" s="20">
        <f t="shared" si="4"/>
        <v>0.01</v>
      </c>
      <c r="L40" s="154"/>
      <c r="M40" s="30" t="str">
        <f t="shared" si="5"/>
        <v/>
      </c>
      <c r="N40" s="29">
        <f>SUM(J40)/D40*L39+SUM(J40)</f>
        <v>0</v>
      </c>
      <c r="O40" s="156"/>
      <c r="P40" s="156"/>
      <c r="Q40" s="171"/>
      <c r="U40">
        <f>COUNTIFS('ליקויים מהמערכת'!$G:$G,$B$1,'ליקויים מהמערכת'!$C:$C,REPLACE(E40,1,0,"ליקוי ל: "))</f>
        <v>0</v>
      </c>
    </row>
    <row r="41" spans="1:21" ht="15.75" thickBot="1" x14ac:dyDescent="0.3">
      <c r="A41" s="149"/>
      <c r="B41" s="152"/>
      <c r="C41" s="47" t="s">
        <v>28</v>
      </c>
      <c r="D41" s="60">
        <v>0.01</v>
      </c>
      <c r="E41" s="8" t="s">
        <v>156</v>
      </c>
      <c r="F41" s="36">
        <v>0.01</v>
      </c>
      <c r="G41" s="31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"))/100/COUNTIFS('ליקויים מהמערכת'!$G:$G,$B$1,'ליקויים מהמערכת'!$C:$C,REPLACE(E41,1,0,"ליקוי ל: ")))</f>
        <v>1</v>
      </c>
      <c r="H41" s="26" t="str">
        <f t="shared" si="0"/>
        <v/>
      </c>
      <c r="I41" s="26" t="str">
        <f t="shared" si="2"/>
        <v/>
      </c>
      <c r="J41" s="32">
        <f t="shared" si="3"/>
        <v>0.01</v>
      </c>
      <c r="K41" s="26" t="str">
        <f t="shared" si="4"/>
        <v/>
      </c>
      <c r="L41" s="157"/>
      <c r="M41" s="37">
        <f t="shared" si="5"/>
        <v>1</v>
      </c>
      <c r="N41" s="41">
        <f>SUM(J41)/D41*L39+SUM(J41)</f>
        <v>1.4999999999999999E-2</v>
      </c>
      <c r="O41" s="169"/>
      <c r="P41" s="169"/>
      <c r="Q41" s="172"/>
      <c r="U41">
        <f>COUNTIFS('ליקויים מהמערכת'!$G:$G,$B$1,'ליקויים מהמערכת'!$C:$C,REPLACE(E41,1,0,"ליקוי ל: "))</f>
        <v>1</v>
      </c>
    </row>
    <row r="42" spans="1:21" ht="30" x14ac:dyDescent="0.25">
      <c r="A42" s="147" t="s">
        <v>5</v>
      </c>
      <c r="B42" s="150">
        <v>7.0000000000000007E-2</v>
      </c>
      <c r="C42" s="45" t="s">
        <v>29</v>
      </c>
      <c r="D42" s="58">
        <v>0.02</v>
      </c>
      <c r="E42" s="9" t="s">
        <v>52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"))/100/COUNTIFS('ליקויים מהמערכת'!$G:$G,$B$1,'ליקויים מהמערכת'!$C:$C,REPLACE(E42,1,0,"ליקוי ל: ")))</f>
        <v>0.5</v>
      </c>
      <c r="H42" s="16" t="str">
        <f t="shared" si="0"/>
        <v/>
      </c>
      <c r="I42" s="16" t="str">
        <f t="shared" si="2"/>
        <v/>
      </c>
      <c r="J42" s="28">
        <f t="shared" si="3"/>
        <v>0.01</v>
      </c>
      <c r="K42" s="16" t="str">
        <f t="shared" si="4"/>
        <v/>
      </c>
      <c r="L42" s="153">
        <f>IFERROR(SUM(K42:K45)/SUM(M42:M45),0)</f>
        <v>3.3333333333333335E-3</v>
      </c>
      <c r="M42" s="35">
        <f t="shared" si="5"/>
        <v>1</v>
      </c>
      <c r="N42" s="28">
        <f>SUM(J42)/D42*L42+SUM(J42)</f>
        <v>1.1666666666666667E-2</v>
      </c>
      <c r="O42" s="155">
        <f>IF(L42&gt;0,1,IF(SUM(M42:M45)=4,1,""))</f>
        <v>1</v>
      </c>
      <c r="P42" s="153" t="str">
        <f>IF(O42="",B42,"")</f>
        <v/>
      </c>
      <c r="Q42" s="170">
        <f>SUM(P4:P48)/SUM(O4:O48)*(SUM(N42:N45)/B42)+SUM(N42:N45)</f>
        <v>4.2592592592592592E-2</v>
      </c>
      <c r="U42">
        <f>COUNTIFS('ליקויים מהמערכת'!$G:$G,$B$1,'ליקויים מהמערכת'!$C:$C,REPLACE(E42,1,0,"ליקוי ל: "))</f>
        <v>3</v>
      </c>
    </row>
    <row r="43" spans="1:21" ht="30" x14ac:dyDescent="0.25">
      <c r="A43" s="148"/>
      <c r="B43" s="151"/>
      <c r="C43" s="46" t="s">
        <v>30</v>
      </c>
      <c r="D43" s="59">
        <v>0.02</v>
      </c>
      <c r="E43" s="5" t="s">
        <v>53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"))/100/COUNTIFS('ליקויים מהמערכת'!$G:$G,$B$1,'ליקויים מהמערכת'!$C:$C,REPLACE(E43,1,0,"ליקוי ל: ")))</f>
        <v>0.5</v>
      </c>
      <c r="H43" s="20" t="str">
        <f t="shared" si="0"/>
        <v/>
      </c>
      <c r="I43" s="20" t="str">
        <f t="shared" si="2"/>
        <v/>
      </c>
      <c r="J43" s="29">
        <f t="shared" si="3"/>
        <v>0.01</v>
      </c>
      <c r="K43" s="20" t="str">
        <f t="shared" si="4"/>
        <v/>
      </c>
      <c r="L43" s="154"/>
      <c r="M43" s="30">
        <f t="shared" si="5"/>
        <v>1</v>
      </c>
      <c r="N43" s="29">
        <f>SUM(J43)/D43*L42+SUM(J43)</f>
        <v>1.1666666666666667E-2</v>
      </c>
      <c r="O43" s="156"/>
      <c r="P43" s="154"/>
      <c r="Q43" s="171"/>
      <c r="U43">
        <f>COUNTIFS('ליקויים מהמערכת'!$G:$G,$B$1,'ליקויים מהמערכת'!$C:$C,REPLACE(E43,1,0,"ליקוי ל: "))</f>
        <v>1</v>
      </c>
    </row>
    <row r="44" spans="1:21" ht="15" x14ac:dyDescent="0.25">
      <c r="A44" s="148"/>
      <c r="B44" s="151"/>
      <c r="C44" s="46" t="s">
        <v>31</v>
      </c>
      <c r="D44" s="59">
        <v>0.01</v>
      </c>
      <c r="E44" s="4" t="s">
        <v>157</v>
      </c>
      <c r="F44" s="22">
        <v>0.01</v>
      </c>
      <c r="G44" s="23" t="str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"))/100/COUNTIFS('ליקויים מהמערכת'!$G:$G,$B$1,'ליקויים מהמערכת'!$C:$C,REPLACE(E44,1,0,"ליקוי ל: ")))</f>
        <v/>
      </c>
      <c r="H44" s="20">
        <f t="shared" si="0"/>
        <v>0.01</v>
      </c>
      <c r="I44" s="20">
        <f t="shared" si="2"/>
        <v>0.01</v>
      </c>
      <c r="J44" s="29" t="str">
        <f t="shared" si="3"/>
        <v/>
      </c>
      <c r="K44" s="20">
        <f t="shared" si="4"/>
        <v>0.01</v>
      </c>
      <c r="L44" s="154"/>
      <c r="M44" s="30" t="str">
        <f t="shared" si="5"/>
        <v/>
      </c>
      <c r="N44" s="29">
        <f>SUM(J44)/D44*L42+SUM(J44)</f>
        <v>0</v>
      </c>
      <c r="O44" s="156"/>
      <c r="P44" s="154"/>
      <c r="Q44" s="171"/>
      <c r="U44">
        <f>COUNTIFS('ליקויים מהמערכת'!$G:$G,$B$1,'ליקויים מהמערכת'!$C:$C,REPLACE(E44,1,0,"ליקוי ל: "))</f>
        <v>0</v>
      </c>
    </row>
    <row r="45" spans="1:21" ht="15.75" thickBot="1" x14ac:dyDescent="0.3">
      <c r="A45" s="149"/>
      <c r="B45" s="152"/>
      <c r="C45" s="47" t="s">
        <v>32</v>
      </c>
      <c r="D45" s="60">
        <v>0.02</v>
      </c>
      <c r="E45" s="8" t="s">
        <v>158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"))/100/COUNTIFS('ליקויים מהמערכת'!$G:$G,$B$1,'ליקויים מהמערכת'!$C:$C,REPLACE(E45,1,0,"ליקוי ל: ")))</f>
        <v>0.66666666666666663</v>
      </c>
      <c r="H45" s="26" t="str">
        <f t="shared" si="0"/>
        <v/>
      </c>
      <c r="I45" s="26" t="str">
        <f t="shared" si="2"/>
        <v/>
      </c>
      <c r="J45" s="32">
        <f t="shared" si="3"/>
        <v>1.3333333333333332E-2</v>
      </c>
      <c r="K45" s="26" t="str">
        <f t="shared" si="4"/>
        <v/>
      </c>
      <c r="L45" s="157"/>
      <c r="M45" s="37">
        <f t="shared" si="5"/>
        <v>1</v>
      </c>
      <c r="N45" s="32">
        <f>SUM(J45)/D45*L42+SUM(J45)</f>
        <v>1.5555555555555555E-2</v>
      </c>
      <c r="O45" s="169"/>
      <c r="P45" s="157"/>
      <c r="Q45" s="172"/>
      <c r="U45">
        <f>COUNTIFS('ליקויים מהמערכת'!$G:$G,$B$1,'ליקויים מהמערכת'!$C:$C,REPLACE(E45,1,0,"ליקוי ל: "))</f>
        <v>3</v>
      </c>
    </row>
    <row r="46" spans="1:21" ht="15" x14ac:dyDescent="0.25">
      <c r="A46" s="147" t="s">
        <v>6</v>
      </c>
      <c r="B46" s="150">
        <v>0.04</v>
      </c>
      <c r="C46" s="180" t="s">
        <v>33</v>
      </c>
      <c r="D46" s="58">
        <v>0.02</v>
      </c>
      <c r="E46" s="7" t="s">
        <v>159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"))/100/COUNTIFS('ליקויים מהמערכת'!$G:$G,$B$1,'ליקויים מהמערכת'!$C:$C,REPLACE(E46,1,0,"ליקוי ל: ")))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53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55" t="str">
        <f>IF(L46&gt;0,1,IF(SUM(M46:M48)=3,1,""))</f>
        <v/>
      </c>
      <c r="P46" s="155">
        <f>IF(O46="",B46,"")</f>
        <v>0.04</v>
      </c>
      <c r="Q46" s="170">
        <f>SUM(P4:P48)/SUM(O4:O48)*(SUM(N46:N48)/B46)+SUM(N46:N48)</f>
        <v>0</v>
      </c>
      <c r="U46">
        <f>COUNTIFS('ליקויים מהמערכת'!$G:$G,$B$1,'ליקויים מהמערכת'!$C:$C,REPLACE(E46,1,0,"ליקוי ל: "))</f>
        <v>0</v>
      </c>
    </row>
    <row r="47" spans="1:21" ht="15" x14ac:dyDescent="0.25">
      <c r="A47" s="148"/>
      <c r="B47" s="151"/>
      <c r="C47" s="175"/>
      <c r="D47" s="59">
        <v>0.01</v>
      </c>
      <c r="E47" s="4" t="s">
        <v>160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"))/100/COUNTIFS('ליקויים מהמערכת'!$G:$G,$B$1,'ליקויים מהמערכת'!$C:$C,REPLACE(E47,1,0,"ליקוי ל: ")))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54"/>
      <c r="M47" s="30" t="str">
        <f t="shared" si="5"/>
        <v/>
      </c>
      <c r="N47" s="40">
        <f>SUM(J47)/D47*L46+SUM(J47)</f>
        <v>0</v>
      </c>
      <c r="O47" s="156"/>
      <c r="P47" s="156"/>
      <c r="Q47" s="171"/>
      <c r="U47">
        <f>COUNTIFS('ליקויים מהמערכת'!$G:$G,$B$1,'ליקויים מהמערכת'!$C:$C,REPLACE(E47,1,0,"ליקוי ל: "))</f>
        <v>0</v>
      </c>
    </row>
    <row r="48" spans="1:21" ht="15" thickBot="1" x14ac:dyDescent="0.25">
      <c r="A48" s="149"/>
      <c r="B48" s="152"/>
      <c r="C48" s="176"/>
      <c r="D48" s="60">
        <v>0.01</v>
      </c>
      <c r="E48" s="10" t="s">
        <v>161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"))/100/COUNTIFS('ליקויים מהמערכת'!$G:$G,$B$1,'ליקויים מהמערכת'!$C:$C,REPLACE(E48,1,0,"ליקוי ל: ")))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57"/>
      <c r="M48" s="37" t="str">
        <f t="shared" si="5"/>
        <v/>
      </c>
      <c r="N48" s="41">
        <f>SUM(J48)/D48*L46+SUM(J48)</f>
        <v>0</v>
      </c>
      <c r="O48" s="169"/>
      <c r="P48" s="169"/>
      <c r="Q48" s="172"/>
      <c r="U48">
        <f>COUNTIFS('ליקויים מהמערכת'!$G:$G,$B$1,'ליקויים מהמערכת'!$C:$C,REPLACE(E48,1,0,"ליקוי ל: "))</f>
        <v>0</v>
      </c>
    </row>
    <row r="49" spans="6:21" x14ac:dyDescent="0.2">
      <c r="U49">
        <f>SUM(U4:U48)</f>
        <v>53</v>
      </c>
    </row>
    <row r="51" spans="6:21" x14ac:dyDescent="0.2">
      <c r="F51" t="s">
        <v>92</v>
      </c>
      <c r="G51">
        <f>COUNT(G4:G48)</f>
        <v>25</v>
      </c>
    </row>
  </sheetData>
  <mergeCells count="91"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A30:A33"/>
    <mergeCell ref="B30:B33"/>
    <mergeCell ref="L30:L33"/>
    <mergeCell ref="O30:O33"/>
    <mergeCell ref="P30:P33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A12:A29"/>
    <mergeCell ref="B12:B29"/>
    <mergeCell ref="C12:C20"/>
    <mergeCell ref="D12:D20"/>
    <mergeCell ref="I12:I20"/>
    <mergeCell ref="C21:C22"/>
    <mergeCell ref="C25:C26"/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"/>
  <sheetViews>
    <sheetView rightToLeft="1" topLeftCell="A38" workbookViewId="0">
      <selection activeCell="I52" sqref="I51:I52"/>
    </sheetView>
  </sheetViews>
  <sheetFormatPr defaultRowHeight="14.25" x14ac:dyDescent="0.2"/>
  <cols>
    <col min="3" max="3" width="64" bestFit="1" customWidth="1"/>
  </cols>
  <sheetData>
    <row r="1" spans="1:24" ht="15" x14ac:dyDescent="0.25">
      <c r="A1" s="133" t="s">
        <v>114</v>
      </c>
      <c r="B1" s="133" t="s">
        <v>115</v>
      </c>
      <c r="C1" s="133" t="s">
        <v>116</v>
      </c>
      <c r="D1" s="133" t="s">
        <v>117</v>
      </c>
      <c r="E1" s="133" t="s">
        <v>118</v>
      </c>
      <c r="F1" s="133" t="s">
        <v>119</v>
      </c>
      <c r="G1" s="133" t="s">
        <v>120</v>
      </c>
      <c r="H1" s="133" t="s">
        <v>121</v>
      </c>
      <c r="I1" s="133" t="s">
        <v>122</v>
      </c>
    </row>
    <row r="2" spans="1:24" ht="15" x14ac:dyDescent="0.25">
      <c r="A2" s="133">
        <v>190</v>
      </c>
      <c r="B2" s="133">
        <v>49033127</v>
      </c>
      <c r="C2" s="133" t="s">
        <v>123</v>
      </c>
      <c r="D2" s="134">
        <v>43312</v>
      </c>
      <c r="E2" s="134">
        <v>43312</v>
      </c>
      <c r="F2" s="133">
        <v>1</v>
      </c>
      <c r="G2" s="133" t="s">
        <v>171</v>
      </c>
      <c r="H2" s="133">
        <v>0</v>
      </c>
      <c r="I2" s="133"/>
      <c r="N2">
        <f t="shared" ref="N2:N33" si="0">VLOOKUP(REPLACE(C2,1,8," "),$W$2:$X$46,2,FALSE)</f>
        <v>4</v>
      </c>
      <c r="W2" t="s">
        <v>190</v>
      </c>
      <c r="X2">
        <v>1</v>
      </c>
    </row>
    <row r="3" spans="1:24" ht="15" x14ac:dyDescent="0.25">
      <c r="A3" s="133">
        <v>191</v>
      </c>
      <c r="B3" s="133">
        <v>49033129</v>
      </c>
      <c r="C3" s="133" t="s">
        <v>124</v>
      </c>
      <c r="D3" s="134">
        <v>43312</v>
      </c>
      <c r="E3" s="134">
        <v>43312</v>
      </c>
      <c r="F3" s="133">
        <v>1</v>
      </c>
      <c r="G3" s="133" t="s">
        <v>171</v>
      </c>
      <c r="H3" s="133">
        <v>0</v>
      </c>
      <c r="I3" s="133"/>
      <c r="N3">
        <f t="shared" si="0"/>
        <v>2</v>
      </c>
      <c r="W3" t="s">
        <v>191</v>
      </c>
      <c r="X3">
        <v>2</v>
      </c>
    </row>
    <row r="4" spans="1:24" ht="15" x14ac:dyDescent="0.25">
      <c r="A4" s="133">
        <v>275</v>
      </c>
      <c r="B4" s="133">
        <v>49033131</v>
      </c>
      <c r="C4" s="133" t="s">
        <v>125</v>
      </c>
      <c r="D4" s="134">
        <v>43313</v>
      </c>
      <c r="E4" s="134">
        <v>43313</v>
      </c>
      <c r="F4" s="133">
        <v>1</v>
      </c>
      <c r="G4" s="133" t="s">
        <v>171</v>
      </c>
      <c r="H4" s="133">
        <v>25</v>
      </c>
      <c r="I4" s="133"/>
      <c r="N4">
        <f t="shared" si="0"/>
        <v>4</v>
      </c>
      <c r="W4" t="s">
        <v>187</v>
      </c>
      <c r="X4">
        <v>2</v>
      </c>
    </row>
    <row r="5" spans="1:24" ht="15" x14ac:dyDescent="0.25">
      <c r="A5" s="133">
        <v>276</v>
      </c>
      <c r="B5" s="133">
        <v>49033132</v>
      </c>
      <c r="C5" s="133" t="s">
        <v>134</v>
      </c>
      <c r="D5" s="134">
        <v>43313</v>
      </c>
      <c r="E5" s="134">
        <v>43313</v>
      </c>
      <c r="F5" s="133">
        <v>1</v>
      </c>
      <c r="G5" s="133" t="s">
        <v>171</v>
      </c>
      <c r="H5" s="133">
        <v>50</v>
      </c>
      <c r="I5" s="133"/>
      <c r="N5" t="e">
        <f t="shared" si="0"/>
        <v>#N/A</v>
      </c>
      <c r="W5" t="s">
        <v>185</v>
      </c>
      <c r="X5">
        <v>2</v>
      </c>
    </row>
    <row r="6" spans="1:24" ht="15" x14ac:dyDescent="0.25">
      <c r="A6" s="133">
        <v>185</v>
      </c>
      <c r="B6" s="133">
        <v>49033135</v>
      </c>
      <c r="C6" s="133" t="s">
        <v>162</v>
      </c>
      <c r="D6" s="134">
        <v>43312</v>
      </c>
      <c r="E6" s="134">
        <v>43312</v>
      </c>
      <c r="F6" s="133">
        <v>1</v>
      </c>
      <c r="G6" s="133" t="s">
        <v>171</v>
      </c>
      <c r="H6" s="133">
        <v>100</v>
      </c>
      <c r="I6" s="133"/>
      <c r="N6" t="e">
        <f t="shared" si="0"/>
        <v>#N/A</v>
      </c>
      <c r="W6" t="s">
        <v>186</v>
      </c>
      <c r="X6">
        <v>2</v>
      </c>
    </row>
    <row r="7" spans="1:24" ht="15" x14ac:dyDescent="0.25">
      <c r="A7" s="133">
        <v>186</v>
      </c>
      <c r="B7" s="133">
        <v>49033136</v>
      </c>
      <c r="C7" s="133" t="s">
        <v>163</v>
      </c>
      <c r="D7" s="134">
        <v>43344</v>
      </c>
      <c r="E7" s="134">
        <v>43344</v>
      </c>
      <c r="F7" s="133">
        <v>1</v>
      </c>
      <c r="G7" s="133" t="s">
        <v>171</v>
      </c>
      <c r="H7" s="133">
        <v>0</v>
      </c>
      <c r="I7" s="133"/>
      <c r="N7" t="e">
        <f t="shared" si="0"/>
        <v>#N/A</v>
      </c>
      <c r="W7" t="s">
        <v>184</v>
      </c>
      <c r="X7">
        <v>2</v>
      </c>
    </row>
    <row r="8" spans="1:24" ht="15" x14ac:dyDescent="0.25">
      <c r="A8" s="133">
        <v>260</v>
      </c>
      <c r="B8" s="133">
        <v>49035982</v>
      </c>
      <c r="C8" s="133" t="s">
        <v>126</v>
      </c>
      <c r="D8" s="134">
        <v>43313</v>
      </c>
      <c r="E8" s="134">
        <v>43313</v>
      </c>
      <c r="F8" s="133">
        <v>1</v>
      </c>
      <c r="G8" s="133" t="s">
        <v>171</v>
      </c>
      <c r="H8" s="133">
        <v>100</v>
      </c>
      <c r="I8" s="133"/>
      <c r="N8" t="e">
        <f t="shared" si="0"/>
        <v>#N/A</v>
      </c>
      <c r="W8" t="s">
        <v>194</v>
      </c>
      <c r="X8">
        <v>2</v>
      </c>
    </row>
    <row r="9" spans="1:24" ht="15" x14ac:dyDescent="0.25">
      <c r="A9" s="133">
        <v>261</v>
      </c>
      <c r="B9" s="133">
        <v>49035984</v>
      </c>
      <c r="C9" s="133" t="s">
        <v>133</v>
      </c>
      <c r="D9" s="134">
        <v>43313</v>
      </c>
      <c r="E9" s="134">
        <v>43313</v>
      </c>
      <c r="F9" s="133">
        <v>1</v>
      </c>
      <c r="G9" s="133" t="s">
        <v>171</v>
      </c>
      <c r="H9" s="133">
        <v>100</v>
      </c>
      <c r="I9" s="133"/>
      <c r="N9" t="e">
        <f t="shared" si="0"/>
        <v>#N/A</v>
      </c>
      <c r="W9" t="s">
        <v>195</v>
      </c>
      <c r="X9">
        <v>4</v>
      </c>
    </row>
    <row r="10" spans="1:24" ht="15" x14ac:dyDescent="0.25">
      <c r="A10" s="133">
        <v>3257</v>
      </c>
      <c r="B10" s="133">
        <v>49035985</v>
      </c>
      <c r="C10" s="133" t="s">
        <v>128</v>
      </c>
      <c r="D10" s="134">
        <v>43344</v>
      </c>
      <c r="E10" s="134">
        <v>43344</v>
      </c>
      <c r="F10" s="133">
        <v>1</v>
      </c>
      <c r="G10" s="133" t="s">
        <v>171</v>
      </c>
      <c r="H10" s="133">
        <v>50</v>
      </c>
      <c r="I10" s="133"/>
      <c r="N10" t="e">
        <f t="shared" si="0"/>
        <v>#N/A</v>
      </c>
      <c r="W10" t="s">
        <v>193</v>
      </c>
      <c r="X10">
        <v>2</v>
      </c>
    </row>
    <row r="11" spans="1:24" ht="15" x14ac:dyDescent="0.25">
      <c r="A11" s="133">
        <v>712</v>
      </c>
      <c r="B11" s="133">
        <v>49035987</v>
      </c>
      <c r="C11" s="133" t="s">
        <v>127</v>
      </c>
      <c r="D11" s="134">
        <v>43317</v>
      </c>
      <c r="E11" s="134">
        <v>43317</v>
      </c>
      <c r="F11" s="133">
        <v>1</v>
      </c>
      <c r="G11" s="133" t="s">
        <v>171</v>
      </c>
      <c r="H11" s="133">
        <v>50</v>
      </c>
      <c r="I11" s="133"/>
      <c r="N11" t="e">
        <f t="shared" si="0"/>
        <v>#N/A</v>
      </c>
      <c r="W11" t="s">
        <v>188</v>
      </c>
      <c r="X11">
        <v>1</v>
      </c>
    </row>
    <row r="12" spans="1:24" ht="15" x14ac:dyDescent="0.25">
      <c r="A12" s="133">
        <v>1315</v>
      </c>
      <c r="B12" s="133">
        <v>49036303</v>
      </c>
      <c r="C12" s="133" t="s">
        <v>131</v>
      </c>
      <c r="D12" s="134">
        <v>43319</v>
      </c>
      <c r="E12" s="134">
        <v>43319</v>
      </c>
      <c r="F12" s="133">
        <v>1</v>
      </c>
      <c r="G12" s="133" t="s">
        <v>171</v>
      </c>
      <c r="H12" s="133">
        <v>0</v>
      </c>
      <c r="I12" s="133"/>
      <c r="N12">
        <f t="shared" si="0"/>
        <v>2</v>
      </c>
      <c r="W12" t="s">
        <v>173</v>
      </c>
      <c r="X12">
        <v>1</v>
      </c>
    </row>
    <row r="13" spans="1:24" ht="15" x14ac:dyDescent="0.25">
      <c r="A13" s="133">
        <v>254</v>
      </c>
      <c r="B13" s="133">
        <v>49035963</v>
      </c>
      <c r="C13" s="133" t="s">
        <v>123</v>
      </c>
      <c r="D13" s="134">
        <v>43313</v>
      </c>
      <c r="E13" s="134">
        <v>43313</v>
      </c>
      <c r="F13" s="133">
        <v>1</v>
      </c>
      <c r="G13" s="133" t="s">
        <v>171</v>
      </c>
      <c r="H13" s="133">
        <v>100</v>
      </c>
      <c r="I13" s="133"/>
      <c r="N13">
        <f t="shared" si="0"/>
        <v>4</v>
      </c>
      <c r="W13" t="s">
        <v>174</v>
      </c>
      <c r="X13">
        <v>1</v>
      </c>
    </row>
    <row r="14" spans="1:24" ht="15" x14ac:dyDescent="0.25">
      <c r="A14" s="133">
        <v>255</v>
      </c>
      <c r="B14" s="133">
        <v>49035966</v>
      </c>
      <c r="C14" s="133" t="s">
        <v>124</v>
      </c>
      <c r="D14" s="134">
        <v>43313</v>
      </c>
      <c r="E14" s="134">
        <v>43313</v>
      </c>
      <c r="F14" s="133">
        <v>1</v>
      </c>
      <c r="G14" s="133" t="s">
        <v>171</v>
      </c>
      <c r="H14" s="133">
        <v>100</v>
      </c>
      <c r="I14" s="133"/>
      <c r="N14">
        <f t="shared" si="0"/>
        <v>2</v>
      </c>
      <c r="W14" t="s">
        <v>189</v>
      </c>
      <c r="X14">
        <v>1</v>
      </c>
    </row>
    <row r="15" spans="1:24" ht="15" x14ac:dyDescent="0.25">
      <c r="A15" s="133">
        <v>256</v>
      </c>
      <c r="B15" s="133">
        <v>49035973</v>
      </c>
      <c r="C15" s="133" t="s">
        <v>163</v>
      </c>
      <c r="D15" s="134">
        <v>43319</v>
      </c>
      <c r="E15" s="134">
        <v>43319</v>
      </c>
      <c r="F15" s="133">
        <v>1</v>
      </c>
      <c r="G15" s="133" t="s">
        <v>171</v>
      </c>
      <c r="H15" s="133">
        <v>100</v>
      </c>
      <c r="I15" s="133"/>
      <c r="N15" t="e">
        <f t="shared" si="0"/>
        <v>#N/A</v>
      </c>
      <c r="W15" t="s">
        <v>183</v>
      </c>
      <c r="X15">
        <v>1</v>
      </c>
    </row>
    <row r="16" spans="1:24" ht="15" x14ac:dyDescent="0.25">
      <c r="A16" s="133">
        <v>257</v>
      </c>
      <c r="B16" s="133">
        <v>49035975</v>
      </c>
      <c r="C16" s="133" t="s">
        <v>162</v>
      </c>
      <c r="D16" s="134">
        <v>43313</v>
      </c>
      <c r="E16" s="134">
        <v>43313</v>
      </c>
      <c r="F16" s="133">
        <v>1</v>
      </c>
      <c r="G16" s="133" t="s">
        <v>171</v>
      </c>
      <c r="H16" s="133">
        <v>100</v>
      </c>
      <c r="I16" s="133"/>
      <c r="N16" t="e">
        <f t="shared" si="0"/>
        <v>#N/A</v>
      </c>
      <c r="W16" t="s">
        <v>158</v>
      </c>
      <c r="X16">
        <v>2</v>
      </c>
    </row>
    <row r="17" spans="1:24" ht="15" x14ac:dyDescent="0.25">
      <c r="A17" s="133">
        <v>258</v>
      </c>
      <c r="B17" s="133">
        <v>49035976</v>
      </c>
      <c r="C17" s="133" t="s">
        <v>165</v>
      </c>
      <c r="D17" s="134">
        <v>43313</v>
      </c>
      <c r="E17" s="134">
        <v>43313</v>
      </c>
      <c r="F17" s="133">
        <v>1</v>
      </c>
      <c r="G17" s="133" t="s">
        <v>171</v>
      </c>
      <c r="H17" s="133">
        <v>100</v>
      </c>
      <c r="I17" s="125"/>
      <c r="N17" t="e">
        <f t="shared" si="0"/>
        <v>#N/A</v>
      </c>
      <c r="W17" t="s">
        <v>160</v>
      </c>
      <c r="X17">
        <v>2</v>
      </c>
    </row>
    <row r="18" spans="1:24" ht="15" x14ac:dyDescent="0.25">
      <c r="A18" s="133">
        <v>259</v>
      </c>
      <c r="B18" s="133">
        <v>49035981</v>
      </c>
      <c r="C18" s="133" t="s">
        <v>164</v>
      </c>
      <c r="D18" s="134">
        <v>43313</v>
      </c>
      <c r="E18" s="134">
        <v>43313</v>
      </c>
      <c r="F18" s="133">
        <v>1</v>
      </c>
      <c r="G18" s="133" t="s">
        <v>171</v>
      </c>
      <c r="H18" s="133">
        <v>100</v>
      </c>
      <c r="N18">
        <f t="shared" si="0"/>
        <v>1</v>
      </c>
      <c r="W18" t="s">
        <v>143</v>
      </c>
      <c r="X18">
        <v>1</v>
      </c>
    </row>
    <row r="19" spans="1:24" ht="15" x14ac:dyDescent="0.25">
      <c r="A19" s="133">
        <v>642</v>
      </c>
      <c r="B19" s="133">
        <v>49036265</v>
      </c>
      <c r="C19" s="133" t="s">
        <v>165</v>
      </c>
      <c r="D19" s="134">
        <v>43317</v>
      </c>
      <c r="E19" s="134">
        <v>43317</v>
      </c>
      <c r="F19" s="133">
        <v>1</v>
      </c>
      <c r="G19" s="133" t="s">
        <v>171</v>
      </c>
      <c r="H19" s="133">
        <v>100</v>
      </c>
      <c r="N19" t="e">
        <f t="shared" si="0"/>
        <v>#N/A</v>
      </c>
      <c r="W19" t="s">
        <v>159</v>
      </c>
      <c r="X19">
        <v>1</v>
      </c>
    </row>
    <row r="20" spans="1:24" ht="15" x14ac:dyDescent="0.25">
      <c r="A20" s="133">
        <v>643</v>
      </c>
      <c r="B20" s="133">
        <v>49036266</v>
      </c>
      <c r="C20" s="133" t="s">
        <v>166</v>
      </c>
      <c r="D20" s="134">
        <v>43317</v>
      </c>
      <c r="E20" s="134">
        <v>43317</v>
      </c>
      <c r="F20" s="133">
        <v>1</v>
      </c>
      <c r="G20" s="133" t="s">
        <v>171</v>
      </c>
      <c r="H20" s="133">
        <v>100</v>
      </c>
      <c r="N20" t="e">
        <f t="shared" si="0"/>
        <v>#N/A</v>
      </c>
      <c r="W20" t="s">
        <v>146</v>
      </c>
      <c r="X20">
        <v>0</v>
      </c>
    </row>
    <row r="21" spans="1:24" ht="15" x14ac:dyDescent="0.25">
      <c r="A21" s="133">
        <v>646</v>
      </c>
      <c r="B21" s="133">
        <v>49036268</v>
      </c>
      <c r="C21" s="133" t="s">
        <v>137</v>
      </c>
      <c r="D21" s="134">
        <v>43317</v>
      </c>
      <c r="E21" s="134">
        <v>43317</v>
      </c>
      <c r="F21" s="133">
        <v>1</v>
      </c>
      <c r="G21" s="133" t="s">
        <v>171</v>
      </c>
      <c r="H21" s="133">
        <v>100</v>
      </c>
      <c r="N21" t="e">
        <f t="shared" si="0"/>
        <v>#N/A</v>
      </c>
      <c r="W21" t="s">
        <v>149</v>
      </c>
      <c r="X21">
        <v>1</v>
      </c>
    </row>
    <row r="22" spans="1:24" ht="15" x14ac:dyDescent="0.25">
      <c r="A22" s="133">
        <v>647</v>
      </c>
      <c r="B22" s="133">
        <v>49036284</v>
      </c>
      <c r="C22" s="133" t="s">
        <v>131</v>
      </c>
      <c r="D22" s="134">
        <v>43317</v>
      </c>
      <c r="E22" s="134">
        <v>43317</v>
      </c>
      <c r="F22" s="133">
        <v>1</v>
      </c>
      <c r="G22" s="133" t="s">
        <v>171</v>
      </c>
      <c r="H22" s="133">
        <v>100</v>
      </c>
      <c r="N22">
        <f t="shared" si="0"/>
        <v>2</v>
      </c>
      <c r="W22" t="s">
        <v>192</v>
      </c>
      <c r="X22">
        <v>0</v>
      </c>
    </row>
    <row r="23" spans="1:24" ht="15" x14ac:dyDescent="0.25">
      <c r="A23" s="133">
        <v>648</v>
      </c>
      <c r="B23" s="133">
        <v>49036287</v>
      </c>
      <c r="C23" s="133" t="s">
        <v>135</v>
      </c>
      <c r="D23" s="134">
        <v>43317</v>
      </c>
      <c r="E23" s="134">
        <v>43317</v>
      </c>
      <c r="F23" s="133">
        <v>1</v>
      </c>
      <c r="G23" s="133" t="s">
        <v>171</v>
      </c>
      <c r="H23" s="133">
        <v>100</v>
      </c>
      <c r="N23" t="e">
        <f t="shared" si="0"/>
        <v>#N/A</v>
      </c>
      <c r="W23" t="s">
        <v>157</v>
      </c>
      <c r="X23">
        <v>1</v>
      </c>
    </row>
    <row r="24" spans="1:24" ht="15" x14ac:dyDescent="0.25">
      <c r="A24" s="133">
        <v>1252</v>
      </c>
      <c r="B24" s="133">
        <v>49036292</v>
      </c>
      <c r="C24" s="133" t="s">
        <v>136</v>
      </c>
      <c r="D24" s="134">
        <v>43319</v>
      </c>
      <c r="E24" s="134">
        <v>43319</v>
      </c>
      <c r="F24" s="133">
        <v>1</v>
      </c>
      <c r="G24" s="133" t="s">
        <v>171</v>
      </c>
      <c r="H24" s="133">
        <v>0</v>
      </c>
      <c r="N24" t="e">
        <f t="shared" si="0"/>
        <v>#N/A</v>
      </c>
      <c r="W24" t="s">
        <v>43</v>
      </c>
      <c r="X24">
        <v>2</v>
      </c>
    </row>
    <row r="25" spans="1:24" ht="15" x14ac:dyDescent="0.25">
      <c r="A25" s="133">
        <v>645</v>
      </c>
      <c r="B25" s="133">
        <v>49035938</v>
      </c>
      <c r="C25" s="133" t="s">
        <v>130</v>
      </c>
      <c r="D25" s="134">
        <v>43317</v>
      </c>
      <c r="E25" s="134">
        <v>43317</v>
      </c>
      <c r="F25" s="133">
        <v>1</v>
      </c>
      <c r="G25" s="133" t="s">
        <v>171</v>
      </c>
      <c r="H25" s="133">
        <v>50</v>
      </c>
      <c r="N25" t="e">
        <f t="shared" si="0"/>
        <v>#N/A</v>
      </c>
      <c r="W25" t="s">
        <v>39</v>
      </c>
      <c r="X25">
        <v>0</v>
      </c>
    </row>
    <row r="26" spans="1:24" ht="15" x14ac:dyDescent="0.25">
      <c r="A26" s="133">
        <v>168</v>
      </c>
      <c r="B26" s="133">
        <v>49035940</v>
      </c>
      <c r="C26" s="133" t="s">
        <v>164</v>
      </c>
      <c r="D26" s="134">
        <v>43312</v>
      </c>
      <c r="E26" s="134">
        <v>43312</v>
      </c>
      <c r="F26" s="133">
        <v>1</v>
      </c>
      <c r="G26" s="133" t="s">
        <v>171</v>
      </c>
      <c r="H26" s="133">
        <v>100</v>
      </c>
      <c r="I26" s="130"/>
      <c r="N26">
        <f t="shared" si="0"/>
        <v>1</v>
      </c>
      <c r="W26" t="s">
        <v>140</v>
      </c>
      <c r="X26">
        <v>0</v>
      </c>
    </row>
    <row r="27" spans="1:24" ht="15" x14ac:dyDescent="0.25">
      <c r="A27" s="133">
        <v>169</v>
      </c>
      <c r="B27" s="133">
        <v>49035941</v>
      </c>
      <c r="C27" s="133" t="s">
        <v>126</v>
      </c>
      <c r="D27" s="134">
        <v>43312</v>
      </c>
      <c r="E27" s="134">
        <v>43312</v>
      </c>
      <c r="F27" s="133">
        <v>1</v>
      </c>
      <c r="G27" s="133" t="s">
        <v>171</v>
      </c>
      <c r="H27" s="133">
        <v>100</v>
      </c>
      <c r="N27" t="e">
        <f t="shared" si="0"/>
        <v>#N/A</v>
      </c>
      <c r="W27" t="s">
        <v>40</v>
      </c>
      <c r="X27">
        <v>1</v>
      </c>
    </row>
    <row r="28" spans="1:24" ht="15" x14ac:dyDescent="0.25">
      <c r="A28" s="133">
        <v>644</v>
      </c>
      <c r="B28" s="133">
        <v>49035942</v>
      </c>
      <c r="C28" s="133" t="s">
        <v>133</v>
      </c>
      <c r="D28" s="134">
        <v>43317</v>
      </c>
      <c r="E28" s="134">
        <v>43317</v>
      </c>
      <c r="F28" s="133">
        <v>1</v>
      </c>
      <c r="G28" s="133" t="s">
        <v>171</v>
      </c>
      <c r="H28" s="133">
        <v>100</v>
      </c>
      <c r="I28" s="130"/>
      <c r="N28" t="e">
        <f t="shared" si="0"/>
        <v>#N/A</v>
      </c>
      <c r="W28" t="s">
        <v>172</v>
      </c>
      <c r="X28">
        <v>2</v>
      </c>
    </row>
    <row r="29" spans="1:24" ht="15" x14ac:dyDescent="0.25">
      <c r="A29" s="133">
        <v>3249</v>
      </c>
      <c r="B29" s="133">
        <v>49035944</v>
      </c>
      <c r="C29" s="133" t="s">
        <v>128</v>
      </c>
      <c r="D29" s="134">
        <v>43344</v>
      </c>
      <c r="E29" s="134">
        <v>43344</v>
      </c>
      <c r="F29" s="133">
        <v>1</v>
      </c>
      <c r="G29" s="133" t="s">
        <v>171</v>
      </c>
      <c r="H29" s="133">
        <v>50</v>
      </c>
      <c r="I29" s="130"/>
      <c r="N29" t="e">
        <f t="shared" si="0"/>
        <v>#N/A</v>
      </c>
      <c r="W29" t="s">
        <v>141</v>
      </c>
      <c r="X29">
        <v>1</v>
      </c>
    </row>
    <row r="30" spans="1:24" ht="15" x14ac:dyDescent="0.25">
      <c r="A30" s="133">
        <v>673</v>
      </c>
      <c r="B30" s="133">
        <v>49035946</v>
      </c>
      <c r="C30" s="133" t="s">
        <v>127</v>
      </c>
      <c r="D30" s="134">
        <v>43317</v>
      </c>
      <c r="E30" s="134">
        <v>43317</v>
      </c>
      <c r="F30" s="133">
        <v>1</v>
      </c>
      <c r="G30" s="133" t="s">
        <v>171</v>
      </c>
      <c r="H30" s="133">
        <v>100</v>
      </c>
      <c r="N30" t="e">
        <f t="shared" si="0"/>
        <v>#N/A</v>
      </c>
      <c r="W30" t="s">
        <v>42</v>
      </c>
      <c r="X30">
        <v>1</v>
      </c>
    </row>
    <row r="31" spans="1:24" ht="15" x14ac:dyDescent="0.25">
      <c r="A31" s="133">
        <v>162</v>
      </c>
      <c r="B31" s="133">
        <v>49035930</v>
      </c>
      <c r="C31" s="133" t="s">
        <v>167</v>
      </c>
      <c r="D31" s="134">
        <v>43312</v>
      </c>
      <c r="E31" s="134">
        <v>43312</v>
      </c>
      <c r="F31" s="133">
        <v>1</v>
      </c>
      <c r="G31" s="133" t="s">
        <v>171</v>
      </c>
      <c r="H31" s="133">
        <v>100</v>
      </c>
      <c r="I31" s="130"/>
      <c r="N31" t="e">
        <f t="shared" si="0"/>
        <v>#N/A</v>
      </c>
      <c r="W31" t="s">
        <v>41</v>
      </c>
      <c r="X31">
        <v>1</v>
      </c>
    </row>
    <row r="32" spans="1:24" ht="15" x14ac:dyDescent="0.25">
      <c r="A32" s="133">
        <v>163</v>
      </c>
      <c r="B32" s="133">
        <v>49035931</v>
      </c>
      <c r="C32" s="133" t="s">
        <v>132</v>
      </c>
      <c r="D32" s="134">
        <v>43312</v>
      </c>
      <c r="E32" s="134">
        <v>43312</v>
      </c>
      <c r="F32" s="133">
        <v>1</v>
      </c>
      <c r="G32" s="133" t="s">
        <v>171</v>
      </c>
      <c r="H32" s="133">
        <v>100</v>
      </c>
      <c r="N32" t="e">
        <f t="shared" si="0"/>
        <v>#N/A</v>
      </c>
      <c r="W32" t="s">
        <v>150</v>
      </c>
      <c r="X32">
        <v>1</v>
      </c>
    </row>
    <row r="33" spans="1:24" ht="15" x14ac:dyDescent="0.25">
      <c r="A33" s="133">
        <v>164</v>
      </c>
      <c r="B33" s="133">
        <v>49035932</v>
      </c>
      <c r="C33" s="133" t="s">
        <v>180</v>
      </c>
      <c r="D33" s="134">
        <v>43312</v>
      </c>
      <c r="E33" s="134">
        <v>43312</v>
      </c>
      <c r="F33" s="133">
        <v>1</v>
      </c>
      <c r="G33" s="133" t="s">
        <v>171</v>
      </c>
      <c r="H33" s="133">
        <v>100</v>
      </c>
      <c r="N33" t="e">
        <f t="shared" si="0"/>
        <v>#N/A</v>
      </c>
      <c r="W33" t="s">
        <v>197</v>
      </c>
      <c r="X33">
        <v>4</v>
      </c>
    </row>
    <row r="34" spans="1:24" ht="15" x14ac:dyDescent="0.25">
      <c r="A34" s="133">
        <v>165</v>
      </c>
      <c r="B34" s="133">
        <v>49035933</v>
      </c>
      <c r="C34" s="133" t="s">
        <v>168</v>
      </c>
      <c r="D34" s="134">
        <v>43312</v>
      </c>
      <c r="E34" s="134">
        <v>43312</v>
      </c>
      <c r="F34" s="133">
        <v>1</v>
      </c>
      <c r="G34" s="133" t="s">
        <v>171</v>
      </c>
      <c r="H34" s="133">
        <v>100</v>
      </c>
      <c r="I34" s="130"/>
      <c r="N34" t="e">
        <f t="shared" ref="N34:N65" si="1">VLOOKUP(REPLACE(C34,1,8," "),$W$2:$X$46,2,FALSE)</f>
        <v>#N/A</v>
      </c>
      <c r="W34" t="s">
        <v>198</v>
      </c>
      <c r="X34">
        <v>2</v>
      </c>
    </row>
    <row r="35" spans="1:24" ht="15" x14ac:dyDescent="0.25">
      <c r="A35" s="133">
        <v>166</v>
      </c>
      <c r="B35" s="133">
        <v>49035935</v>
      </c>
      <c r="C35" s="133" t="s">
        <v>163</v>
      </c>
      <c r="D35" s="134">
        <v>43344</v>
      </c>
      <c r="E35" s="134">
        <v>43344</v>
      </c>
      <c r="F35" s="133">
        <v>1</v>
      </c>
      <c r="G35" s="133" t="s">
        <v>171</v>
      </c>
      <c r="H35" s="133">
        <v>0</v>
      </c>
      <c r="N35" t="e">
        <f t="shared" si="1"/>
        <v>#N/A</v>
      </c>
      <c r="W35" t="s">
        <v>199</v>
      </c>
      <c r="X35">
        <v>1</v>
      </c>
    </row>
    <row r="36" spans="1:24" ht="15" x14ac:dyDescent="0.25">
      <c r="A36" s="133">
        <v>167</v>
      </c>
      <c r="B36" s="133">
        <v>49035936</v>
      </c>
      <c r="C36" s="133" t="s">
        <v>162</v>
      </c>
      <c r="D36" s="134">
        <v>43312</v>
      </c>
      <c r="E36" s="134">
        <v>43312</v>
      </c>
      <c r="F36" s="133">
        <v>1</v>
      </c>
      <c r="G36" s="133" t="s">
        <v>171</v>
      </c>
      <c r="H36" s="133">
        <v>100</v>
      </c>
      <c r="N36" t="e">
        <f t="shared" si="1"/>
        <v>#N/A</v>
      </c>
      <c r="W36" t="s">
        <v>147</v>
      </c>
      <c r="X36">
        <v>1</v>
      </c>
    </row>
    <row r="37" spans="1:24" ht="15" x14ac:dyDescent="0.25">
      <c r="A37" s="133">
        <v>319</v>
      </c>
      <c r="B37" s="133">
        <v>49036262</v>
      </c>
      <c r="C37" s="133" t="s">
        <v>168</v>
      </c>
      <c r="D37" s="134">
        <v>43316</v>
      </c>
      <c r="E37" s="134">
        <v>43316</v>
      </c>
      <c r="F37" s="133">
        <v>1</v>
      </c>
      <c r="G37" s="133" t="s">
        <v>171</v>
      </c>
      <c r="H37" s="133">
        <v>100</v>
      </c>
      <c r="N37" t="e">
        <f t="shared" si="1"/>
        <v>#N/A</v>
      </c>
      <c r="W37" t="s">
        <v>161</v>
      </c>
      <c r="X37">
        <v>1</v>
      </c>
    </row>
    <row r="38" spans="1:24" ht="15" x14ac:dyDescent="0.25">
      <c r="A38" s="133">
        <v>181</v>
      </c>
      <c r="B38" s="133">
        <v>49035202</v>
      </c>
      <c r="C38" s="133" t="s">
        <v>123</v>
      </c>
      <c r="D38" s="134">
        <v>43312</v>
      </c>
      <c r="E38" s="134">
        <v>43312</v>
      </c>
      <c r="F38" s="133">
        <v>1</v>
      </c>
      <c r="G38" s="133" t="s">
        <v>171</v>
      </c>
      <c r="H38" s="133">
        <v>100</v>
      </c>
      <c r="N38">
        <f t="shared" si="1"/>
        <v>4</v>
      </c>
      <c r="W38" t="s">
        <v>145</v>
      </c>
      <c r="X38">
        <v>1</v>
      </c>
    </row>
    <row r="39" spans="1:24" ht="15" x14ac:dyDescent="0.25">
      <c r="A39" s="133">
        <v>182</v>
      </c>
      <c r="B39" s="133">
        <v>49035203</v>
      </c>
      <c r="C39" s="133" t="s">
        <v>124</v>
      </c>
      <c r="D39" s="134">
        <v>43312</v>
      </c>
      <c r="E39" s="134">
        <v>43312</v>
      </c>
      <c r="F39" s="133">
        <v>1</v>
      </c>
      <c r="G39" s="133" t="s">
        <v>171</v>
      </c>
      <c r="H39" s="133">
        <v>100</v>
      </c>
      <c r="N39">
        <f t="shared" si="1"/>
        <v>2</v>
      </c>
      <c r="W39" t="s">
        <v>200</v>
      </c>
      <c r="X39">
        <v>1</v>
      </c>
    </row>
    <row r="40" spans="1:24" ht="15" x14ac:dyDescent="0.25">
      <c r="A40" s="133">
        <v>3252</v>
      </c>
      <c r="B40" s="133">
        <v>49035204</v>
      </c>
      <c r="C40" s="133" t="s">
        <v>169</v>
      </c>
      <c r="D40" s="134">
        <v>43344</v>
      </c>
      <c r="E40" s="134">
        <v>43344</v>
      </c>
      <c r="F40" s="133">
        <v>1</v>
      </c>
      <c r="G40" s="133" t="s">
        <v>171</v>
      </c>
      <c r="H40" s="133">
        <v>50</v>
      </c>
      <c r="N40" t="e">
        <f t="shared" si="1"/>
        <v>#N/A</v>
      </c>
      <c r="W40" t="s">
        <v>201</v>
      </c>
      <c r="X40">
        <v>2</v>
      </c>
    </row>
    <row r="41" spans="1:24" ht="15" x14ac:dyDescent="0.25">
      <c r="A41" s="133">
        <v>160</v>
      </c>
      <c r="B41" s="133">
        <v>49035928</v>
      </c>
      <c r="C41" s="133" t="s">
        <v>125</v>
      </c>
      <c r="D41" s="134">
        <v>43312</v>
      </c>
      <c r="E41" s="134">
        <v>43312</v>
      </c>
      <c r="F41" s="133">
        <v>1</v>
      </c>
      <c r="G41" s="133" t="s">
        <v>171</v>
      </c>
      <c r="H41" s="133">
        <v>75</v>
      </c>
      <c r="N41">
        <f t="shared" si="1"/>
        <v>4</v>
      </c>
      <c r="W41" t="s">
        <v>154</v>
      </c>
      <c r="X41">
        <v>2</v>
      </c>
    </row>
    <row r="42" spans="1:24" ht="15" x14ac:dyDescent="0.25">
      <c r="A42" s="133">
        <v>161</v>
      </c>
      <c r="B42" s="133">
        <v>49035929</v>
      </c>
      <c r="C42" s="133" t="s">
        <v>134</v>
      </c>
      <c r="D42" s="134">
        <v>43312</v>
      </c>
      <c r="E42" s="134">
        <v>43319</v>
      </c>
      <c r="F42" s="133">
        <v>8</v>
      </c>
      <c r="G42" s="133" t="s">
        <v>171</v>
      </c>
      <c r="H42" s="133">
        <v>50</v>
      </c>
      <c r="N42" t="e">
        <f t="shared" si="1"/>
        <v>#N/A</v>
      </c>
      <c r="W42" t="s">
        <v>36</v>
      </c>
      <c r="X42">
        <v>4</v>
      </c>
    </row>
    <row r="43" spans="1:24" ht="15" x14ac:dyDescent="0.25">
      <c r="A43" s="133">
        <v>196</v>
      </c>
      <c r="B43" s="133">
        <v>49033679</v>
      </c>
      <c r="C43" s="133" t="s">
        <v>133</v>
      </c>
      <c r="D43" s="134">
        <v>43312</v>
      </c>
      <c r="E43" s="134">
        <v>43319</v>
      </c>
      <c r="F43" s="133">
        <v>8</v>
      </c>
      <c r="G43" s="133" t="s">
        <v>171</v>
      </c>
      <c r="H43" s="133">
        <v>50</v>
      </c>
      <c r="N43" t="e">
        <f t="shared" si="1"/>
        <v>#N/A</v>
      </c>
      <c r="W43" t="s">
        <v>142</v>
      </c>
      <c r="X43">
        <v>1</v>
      </c>
    </row>
    <row r="44" spans="1:24" ht="15" x14ac:dyDescent="0.25">
      <c r="A44" s="133">
        <v>197</v>
      </c>
      <c r="B44" s="133">
        <v>49033681</v>
      </c>
      <c r="C44" s="133" t="s">
        <v>126</v>
      </c>
      <c r="D44" s="134">
        <v>43312</v>
      </c>
      <c r="E44" s="134">
        <v>43312</v>
      </c>
      <c r="F44" s="133">
        <v>1</v>
      </c>
      <c r="G44" s="133" t="s">
        <v>171</v>
      </c>
      <c r="H44" s="133">
        <v>100</v>
      </c>
      <c r="I44" s="130"/>
      <c r="N44" t="e">
        <f t="shared" si="1"/>
        <v>#N/A</v>
      </c>
      <c r="W44" t="s">
        <v>153</v>
      </c>
      <c r="X44">
        <v>1</v>
      </c>
    </row>
    <row r="45" spans="1:24" ht="15" x14ac:dyDescent="0.25">
      <c r="A45" s="133">
        <v>198</v>
      </c>
      <c r="B45" s="133">
        <v>49033682</v>
      </c>
      <c r="C45" s="133" t="s">
        <v>138</v>
      </c>
      <c r="D45" s="134">
        <v>43312</v>
      </c>
      <c r="E45" s="134">
        <v>43312</v>
      </c>
      <c r="F45" s="133">
        <v>1</v>
      </c>
      <c r="G45" s="133" t="s">
        <v>171</v>
      </c>
      <c r="H45" s="133">
        <v>100</v>
      </c>
      <c r="N45">
        <f t="shared" si="1"/>
        <v>1</v>
      </c>
      <c r="W45" t="s">
        <v>38</v>
      </c>
      <c r="X45">
        <v>2</v>
      </c>
    </row>
    <row r="46" spans="1:24" ht="15" x14ac:dyDescent="0.25">
      <c r="A46" s="133">
        <v>199</v>
      </c>
      <c r="B46" s="133">
        <v>49033683</v>
      </c>
      <c r="C46" s="133" t="s">
        <v>127</v>
      </c>
      <c r="D46" s="134">
        <v>43312</v>
      </c>
      <c r="E46" s="134">
        <v>43319</v>
      </c>
      <c r="F46" s="133">
        <v>8</v>
      </c>
      <c r="G46" s="133" t="s">
        <v>171</v>
      </c>
      <c r="H46" s="133">
        <v>50</v>
      </c>
      <c r="N46" t="e">
        <f t="shared" si="1"/>
        <v>#N/A</v>
      </c>
      <c r="W46" t="s">
        <v>196</v>
      </c>
      <c r="X46">
        <v>2</v>
      </c>
    </row>
    <row r="47" spans="1:24" ht="15" x14ac:dyDescent="0.25">
      <c r="A47" s="133">
        <v>200</v>
      </c>
      <c r="B47" s="133">
        <v>49033684</v>
      </c>
      <c r="C47" s="133" t="s">
        <v>129</v>
      </c>
      <c r="D47" s="134">
        <v>43312</v>
      </c>
      <c r="E47" s="134">
        <v>43319</v>
      </c>
      <c r="F47" s="133">
        <v>8</v>
      </c>
      <c r="G47" s="133" t="s">
        <v>171</v>
      </c>
      <c r="H47" s="133">
        <v>50</v>
      </c>
      <c r="N47" t="e">
        <f t="shared" si="1"/>
        <v>#N/A</v>
      </c>
    </row>
    <row r="48" spans="1:24" ht="15" x14ac:dyDescent="0.25">
      <c r="A48" s="133">
        <v>318</v>
      </c>
      <c r="B48" s="133">
        <v>49036260</v>
      </c>
      <c r="C48" s="133" t="s">
        <v>137</v>
      </c>
      <c r="D48" s="134">
        <v>43316</v>
      </c>
      <c r="E48" s="134">
        <v>43316</v>
      </c>
      <c r="F48" s="133">
        <v>1</v>
      </c>
      <c r="G48" s="133" t="s">
        <v>171</v>
      </c>
      <c r="H48" s="133">
        <v>100</v>
      </c>
      <c r="I48" s="130"/>
      <c r="N48" t="e">
        <f t="shared" si="1"/>
        <v>#N/A</v>
      </c>
    </row>
    <row r="49" spans="1:14" ht="15" x14ac:dyDescent="0.25">
      <c r="A49" s="133">
        <v>187</v>
      </c>
      <c r="B49" s="133">
        <v>49033140</v>
      </c>
      <c r="C49" s="133" t="s">
        <v>167</v>
      </c>
      <c r="D49" s="134">
        <v>43312</v>
      </c>
      <c r="E49" s="134">
        <v>43312</v>
      </c>
      <c r="F49" s="133">
        <v>1</v>
      </c>
      <c r="G49" s="133" t="s">
        <v>171</v>
      </c>
      <c r="H49" s="133">
        <v>100</v>
      </c>
      <c r="N49" t="e">
        <f t="shared" si="1"/>
        <v>#N/A</v>
      </c>
    </row>
    <row r="50" spans="1:14" ht="15" x14ac:dyDescent="0.25">
      <c r="A50" s="133">
        <v>3259</v>
      </c>
      <c r="B50" s="133">
        <v>49033141</v>
      </c>
      <c r="C50" s="133" t="s">
        <v>128</v>
      </c>
      <c r="D50" s="134">
        <v>43344</v>
      </c>
      <c r="E50" s="134">
        <v>43344</v>
      </c>
      <c r="F50" s="133">
        <v>1</v>
      </c>
      <c r="G50" s="133" t="s">
        <v>171</v>
      </c>
      <c r="H50" s="133">
        <v>50</v>
      </c>
      <c r="N50" t="e">
        <f t="shared" si="1"/>
        <v>#N/A</v>
      </c>
    </row>
    <row r="51" spans="1:14" ht="15" x14ac:dyDescent="0.25">
      <c r="A51" s="133">
        <v>192</v>
      </c>
      <c r="B51" s="133">
        <v>49033673</v>
      </c>
      <c r="C51" s="133" t="s">
        <v>164</v>
      </c>
      <c r="D51" s="134">
        <v>43312</v>
      </c>
      <c r="E51" s="134">
        <v>43312</v>
      </c>
      <c r="F51" s="133">
        <v>1</v>
      </c>
      <c r="G51" s="133" t="s">
        <v>171</v>
      </c>
      <c r="H51" s="133">
        <v>100</v>
      </c>
      <c r="I51" s="130"/>
      <c r="N51">
        <f t="shared" si="1"/>
        <v>1</v>
      </c>
    </row>
    <row r="52" spans="1:14" ht="15" x14ac:dyDescent="0.25">
      <c r="A52" s="133">
        <v>193</v>
      </c>
      <c r="B52" s="133">
        <v>49033676</v>
      </c>
      <c r="C52" s="133" t="s">
        <v>131</v>
      </c>
      <c r="D52" s="134">
        <v>43312</v>
      </c>
      <c r="E52" s="134">
        <v>43312</v>
      </c>
      <c r="F52" s="133">
        <v>1</v>
      </c>
      <c r="G52" s="133" t="s">
        <v>171</v>
      </c>
      <c r="H52" s="133">
        <v>100</v>
      </c>
      <c r="N52">
        <f t="shared" si="1"/>
        <v>2</v>
      </c>
    </row>
    <row r="53" spans="1:14" ht="15" x14ac:dyDescent="0.25">
      <c r="A53" s="133">
        <v>194</v>
      </c>
      <c r="B53" s="133">
        <v>49033677</v>
      </c>
      <c r="C53" s="133" t="s">
        <v>170</v>
      </c>
      <c r="D53" s="134">
        <v>43312</v>
      </c>
      <c r="E53" s="134">
        <v>43312</v>
      </c>
      <c r="F53" s="133">
        <v>1</v>
      </c>
      <c r="G53" s="133" t="s">
        <v>171</v>
      </c>
      <c r="H53" s="133">
        <v>100</v>
      </c>
      <c r="I53" s="130"/>
      <c r="N53" t="e">
        <f t="shared" si="1"/>
        <v>#N/A</v>
      </c>
    </row>
    <row r="54" spans="1:14" ht="15" x14ac:dyDescent="0.25">
      <c r="A54" s="133">
        <v>195</v>
      </c>
      <c r="B54" s="133">
        <v>49033678</v>
      </c>
      <c r="C54" s="133" t="s">
        <v>165</v>
      </c>
      <c r="D54" s="134">
        <v>43312</v>
      </c>
      <c r="E54" s="134">
        <v>43312</v>
      </c>
      <c r="F54" s="133">
        <v>1</v>
      </c>
      <c r="G54" s="133" t="s">
        <v>171</v>
      </c>
      <c r="H54" s="133">
        <v>100</v>
      </c>
      <c r="I54" s="130"/>
      <c r="N54" t="e">
        <f t="shared" si="1"/>
        <v>#N/A</v>
      </c>
    </row>
    <row r="55" spans="1:14" ht="15" x14ac:dyDescent="0.25">
      <c r="A55" s="130">
        <v>221</v>
      </c>
      <c r="B55" s="130">
        <v>49035203</v>
      </c>
      <c r="C55" s="130" t="s">
        <v>124</v>
      </c>
      <c r="D55" s="131">
        <v>43312</v>
      </c>
      <c r="E55" s="131">
        <v>43312</v>
      </c>
      <c r="F55" s="130">
        <v>1</v>
      </c>
      <c r="G55" s="133" t="s">
        <v>171</v>
      </c>
      <c r="H55" s="130">
        <v>100</v>
      </c>
      <c r="N55">
        <f t="shared" si="1"/>
        <v>2</v>
      </c>
    </row>
    <row r="56" spans="1:14" x14ac:dyDescent="0.2">
      <c r="N56" t="e">
        <f t="shared" si="1"/>
        <v>#N/A</v>
      </c>
    </row>
    <row r="57" spans="1:14" x14ac:dyDescent="0.2">
      <c r="N57" t="e">
        <f t="shared" si="1"/>
        <v>#N/A</v>
      </c>
    </row>
    <row r="58" spans="1:14" x14ac:dyDescent="0.2">
      <c r="N58" t="e">
        <f t="shared" si="1"/>
        <v>#N/A</v>
      </c>
    </row>
    <row r="59" spans="1:14" x14ac:dyDescent="0.2">
      <c r="N59" t="e">
        <f t="shared" si="1"/>
        <v>#N/A</v>
      </c>
    </row>
    <row r="60" spans="1:14" x14ac:dyDescent="0.2">
      <c r="N60" t="e">
        <f t="shared" si="1"/>
        <v>#N/A</v>
      </c>
    </row>
    <row r="61" spans="1:14" x14ac:dyDescent="0.2">
      <c r="N61" t="e">
        <f t="shared" si="1"/>
        <v>#N/A</v>
      </c>
    </row>
    <row r="62" spans="1:14" x14ac:dyDescent="0.2">
      <c r="N62" t="e">
        <f t="shared" si="1"/>
        <v>#N/A</v>
      </c>
    </row>
    <row r="63" spans="1:14" x14ac:dyDescent="0.2">
      <c r="N63" t="e">
        <f t="shared" si="1"/>
        <v>#N/A</v>
      </c>
    </row>
    <row r="64" spans="1:14" x14ac:dyDescent="0.2">
      <c r="N64" t="e">
        <f t="shared" si="1"/>
        <v>#N/A</v>
      </c>
    </row>
    <row r="65" spans="14:14" x14ac:dyDescent="0.2">
      <c r="N65" t="e">
        <f t="shared" si="1"/>
        <v>#N/A</v>
      </c>
    </row>
    <row r="66" spans="14:14" x14ac:dyDescent="0.2">
      <c r="N66" t="e">
        <f t="shared" ref="N66:N97" si="2">VLOOKUP(REPLACE(C66,1,8," "),$W$2:$X$46,2,FALSE)</f>
        <v>#N/A</v>
      </c>
    </row>
    <row r="67" spans="14:14" x14ac:dyDescent="0.2">
      <c r="N67" t="e">
        <f t="shared" si="2"/>
        <v>#N/A</v>
      </c>
    </row>
    <row r="68" spans="14:14" x14ac:dyDescent="0.2">
      <c r="N68" t="e">
        <f t="shared" si="2"/>
        <v>#N/A</v>
      </c>
    </row>
    <row r="69" spans="14:14" x14ac:dyDescent="0.2">
      <c r="N69" t="e">
        <f t="shared" si="2"/>
        <v>#N/A</v>
      </c>
    </row>
    <row r="70" spans="14:14" x14ac:dyDescent="0.2">
      <c r="N70" t="e">
        <f t="shared" si="2"/>
        <v>#N/A</v>
      </c>
    </row>
    <row r="71" spans="14:14" x14ac:dyDescent="0.2">
      <c r="N71" t="e">
        <f t="shared" si="2"/>
        <v>#N/A</v>
      </c>
    </row>
    <row r="72" spans="14:14" x14ac:dyDescent="0.2">
      <c r="N72" t="e">
        <f t="shared" si="2"/>
        <v>#N/A</v>
      </c>
    </row>
    <row r="73" spans="14:14" x14ac:dyDescent="0.2">
      <c r="N73" t="e">
        <f t="shared" si="2"/>
        <v>#N/A</v>
      </c>
    </row>
    <row r="74" spans="14:14" x14ac:dyDescent="0.2">
      <c r="N74" t="e">
        <f t="shared" si="2"/>
        <v>#N/A</v>
      </c>
    </row>
    <row r="75" spans="14:14" x14ac:dyDescent="0.2">
      <c r="N75" t="e">
        <f t="shared" si="2"/>
        <v>#N/A</v>
      </c>
    </row>
    <row r="76" spans="14:14" x14ac:dyDescent="0.2">
      <c r="N76" t="e">
        <f t="shared" si="2"/>
        <v>#N/A</v>
      </c>
    </row>
    <row r="77" spans="14:14" x14ac:dyDescent="0.2">
      <c r="N77" t="e">
        <f t="shared" si="2"/>
        <v>#N/A</v>
      </c>
    </row>
    <row r="78" spans="14:14" x14ac:dyDescent="0.2">
      <c r="N78" t="e">
        <f t="shared" si="2"/>
        <v>#N/A</v>
      </c>
    </row>
    <row r="79" spans="14:14" x14ac:dyDescent="0.2">
      <c r="N79" t="e">
        <f t="shared" si="2"/>
        <v>#N/A</v>
      </c>
    </row>
    <row r="80" spans="14:14" x14ac:dyDescent="0.2">
      <c r="N80" t="e">
        <f t="shared" si="2"/>
        <v>#N/A</v>
      </c>
    </row>
    <row r="81" spans="14:14" x14ac:dyDescent="0.2">
      <c r="N81" t="e">
        <f t="shared" si="2"/>
        <v>#N/A</v>
      </c>
    </row>
    <row r="82" spans="14:14" x14ac:dyDescent="0.2">
      <c r="N82" t="e">
        <f t="shared" si="2"/>
        <v>#N/A</v>
      </c>
    </row>
    <row r="83" spans="14:14" x14ac:dyDescent="0.2">
      <c r="N83" t="e">
        <f t="shared" si="2"/>
        <v>#N/A</v>
      </c>
    </row>
    <row r="84" spans="14:14" x14ac:dyDescent="0.2">
      <c r="N84" t="e">
        <f t="shared" si="2"/>
        <v>#N/A</v>
      </c>
    </row>
    <row r="85" spans="14:14" x14ac:dyDescent="0.2">
      <c r="N85" t="e">
        <f t="shared" si="2"/>
        <v>#N/A</v>
      </c>
    </row>
    <row r="86" spans="14:14" x14ac:dyDescent="0.2">
      <c r="N86" t="e">
        <f t="shared" si="2"/>
        <v>#N/A</v>
      </c>
    </row>
    <row r="87" spans="14:14" x14ac:dyDescent="0.2">
      <c r="N87" t="e">
        <f t="shared" si="2"/>
        <v>#N/A</v>
      </c>
    </row>
    <row r="88" spans="14:14" x14ac:dyDescent="0.2">
      <c r="N88" t="e">
        <f t="shared" si="2"/>
        <v>#N/A</v>
      </c>
    </row>
    <row r="89" spans="14:14" x14ac:dyDescent="0.2">
      <c r="N89" t="e">
        <f t="shared" si="2"/>
        <v>#N/A</v>
      </c>
    </row>
    <row r="90" spans="14:14" x14ac:dyDescent="0.2">
      <c r="N90" t="e">
        <f t="shared" si="2"/>
        <v>#N/A</v>
      </c>
    </row>
    <row r="91" spans="14:14" x14ac:dyDescent="0.2">
      <c r="N91" t="e">
        <f t="shared" si="2"/>
        <v>#N/A</v>
      </c>
    </row>
    <row r="92" spans="14:14" x14ac:dyDescent="0.2">
      <c r="N92" t="e">
        <f t="shared" si="2"/>
        <v>#N/A</v>
      </c>
    </row>
    <row r="93" spans="14:14" x14ac:dyDescent="0.2">
      <c r="N93" t="e">
        <f t="shared" si="2"/>
        <v>#N/A</v>
      </c>
    </row>
    <row r="94" spans="14:14" x14ac:dyDescent="0.2">
      <c r="N94" t="e">
        <f t="shared" si="2"/>
        <v>#N/A</v>
      </c>
    </row>
    <row r="95" spans="14:14" x14ac:dyDescent="0.2">
      <c r="N95" t="e">
        <f t="shared" si="2"/>
        <v>#N/A</v>
      </c>
    </row>
    <row r="96" spans="14:14" x14ac:dyDescent="0.2">
      <c r="N96" t="e">
        <f t="shared" si="2"/>
        <v>#N/A</v>
      </c>
    </row>
    <row r="97" spans="14:14" x14ac:dyDescent="0.2">
      <c r="N97" t="e">
        <f t="shared" si="2"/>
        <v>#N/A</v>
      </c>
    </row>
    <row r="98" spans="14:14" x14ac:dyDescent="0.2">
      <c r="N98" t="e">
        <f t="shared" ref="N98:N129" si="3">VLOOKUP(REPLACE(C98,1,8," "),$W$2:$X$46,2,FALSE)</f>
        <v>#N/A</v>
      </c>
    </row>
    <row r="99" spans="14:14" x14ac:dyDescent="0.2">
      <c r="N99" t="e">
        <f t="shared" si="3"/>
        <v>#N/A</v>
      </c>
    </row>
    <row r="100" spans="14:14" x14ac:dyDescent="0.2">
      <c r="N100" t="e">
        <f t="shared" si="3"/>
        <v>#N/A</v>
      </c>
    </row>
    <row r="101" spans="14:14" x14ac:dyDescent="0.2">
      <c r="N101" t="e">
        <f t="shared" si="3"/>
        <v>#N/A</v>
      </c>
    </row>
    <row r="102" spans="14:14" x14ac:dyDescent="0.2">
      <c r="N102" t="e">
        <f t="shared" si="3"/>
        <v>#N/A</v>
      </c>
    </row>
    <row r="103" spans="14:14" x14ac:dyDescent="0.2">
      <c r="N103" t="e">
        <f t="shared" si="3"/>
        <v>#N/A</v>
      </c>
    </row>
    <row r="104" spans="14:14" x14ac:dyDescent="0.2">
      <c r="N104" t="e">
        <f t="shared" si="3"/>
        <v>#N/A</v>
      </c>
    </row>
    <row r="105" spans="14:14" x14ac:dyDescent="0.2">
      <c r="N105" t="e">
        <f t="shared" si="3"/>
        <v>#N/A</v>
      </c>
    </row>
    <row r="106" spans="14:14" x14ac:dyDescent="0.2">
      <c r="N106" t="e">
        <f t="shared" si="3"/>
        <v>#N/A</v>
      </c>
    </row>
    <row r="107" spans="14:14" x14ac:dyDescent="0.2">
      <c r="N107" t="e">
        <f t="shared" si="3"/>
        <v>#N/A</v>
      </c>
    </row>
    <row r="108" spans="14:14" x14ac:dyDescent="0.2">
      <c r="N108" t="e">
        <f t="shared" si="3"/>
        <v>#N/A</v>
      </c>
    </row>
    <row r="109" spans="14:14" x14ac:dyDescent="0.2">
      <c r="N109" t="e">
        <f t="shared" si="3"/>
        <v>#N/A</v>
      </c>
    </row>
    <row r="110" spans="14:14" x14ac:dyDescent="0.2">
      <c r="N110" t="e">
        <f t="shared" si="3"/>
        <v>#N/A</v>
      </c>
    </row>
    <row r="111" spans="14:14" x14ac:dyDescent="0.2">
      <c r="N111" t="e">
        <f t="shared" si="3"/>
        <v>#N/A</v>
      </c>
    </row>
    <row r="112" spans="14:14" x14ac:dyDescent="0.2">
      <c r="N112" t="e">
        <f t="shared" si="3"/>
        <v>#N/A</v>
      </c>
    </row>
    <row r="113" spans="14:14" x14ac:dyDescent="0.2">
      <c r="N113" t="e">
        <f t="shared" si="3"/>
        <v>#N/A</v>
      </c>
    </row>
    <row r="114" spans="14:14" x14ac:dyDescent="0.2">
      <c r="N114" t="e">
        <f t="shared" si="3"/>
        <v>#N/A</v>
      </c>
    </row>
    <row r="115" spans="14:14" x14ac:dyDescent="0.2">
      <c r="N115" t="e">
        <f t="shared" si="3"/>
        <v>#N/A</v>
      </c>
    </row>
    <row r="116" spans="14:14" x14ac:dyDescent="0.2">
      <c r="N116" t="e">
        <f t="shared" si="3"/>
        <v>#N/A</v>
      </c>
    </row>
    <row r="117" spans="14:14" x14ac:dyDescent="0.2">
      <c r="N117" t="e">
        <f t="shared" si="3"/>
        <v>#N/A</v>
      </c>
    </row>
    <row r="118" spans="14:14" x14ac:dyDescent="0.2">
      <c r="N118" t="e">
        <f t="shared" si="3"/>
        <v>#N/A</v>
      </c>
    </row>
    <row r="119" spans="14:14" x14ac:dyDescent="0.2">
      <c r="N119" t="e">
        <f t="shared" si="3"/>
        <v>#N/A</v>
      </c>
    </row>
    <row r="120" spans="14:14" x14ac:dyDescent="0.2">
      <c r="N120" t="e">
        <f t="shared" si="3"/>
        <v>#N/A</v>
      </c>
    </row>
    <row r="121" spans="14:14" x14ac:dyDescent="0.2">
      <c r="N121" t="e">
        <f t="shared" si="3"/>
        <v>#N/A</v>
      </c>
    </row>
    <row r="122" spans="14:14" x14ac:dyDescent="0.2">
      <c r="N122" t="e">
        <f t="shared" si="3"/>
        <v>#N/A</v>
      </c>
    </row>
    <row r="123" spans="14:14" x14ac:dyDescent="0.2">
      <c r="N123" t="e">
        <f t="shared" si="3"/>
        <v>#N/A</v>
      </c>
    </row>
    <row r="124" spans="14:14" x14ac:dyDescent="0.2">
      <c r="N124" t="e">
        <f t="shared" si="3"/>
        <v>#N/A</v>
      </c>
    </row>
    <row r="125" spans="14:14" x14ac:dyDescent="0.2">
      <c r="N125" t="e">
        <f t="shared" si="3"/>
        <v>#N/A</v>
      </c>
    </row>
    <row r="126" spans="14:14" x14ac:dyDescent="0.2">
      <c r="N126" t="e">
        <f t="shared" si="3"/>
        <v>#N/A</v>
      </c>
    </row>
    <row r="127" spans="14:14" x14ac:dyDescent="0.2">
      <c r="N127" t="e">
        <f t="shared" si="3"/>
        <v>#N/A</v>
      </c>
    </row>
    <row r="128" spans="14:14" x14ac:dyDescent="0.2">
      <c r="N128" t="e">
        <f t="shared" si="3"/>
        <v>#N/A</v>
      </c>
    </row>
    <row r="129" spans="14:14" x14ac:dyDescent="0.2">
      <c r="N129" t="e">
        <f t="shared" si="3"/>
        <v>#N/A</v>
      </c>
    </row>
    <row r="130" spans="14:14" x14ac:dyDescent="0.2">
      <c r="N130" t="e">
        <f t="shared" ref="N130:N161" si="4">VLOOKUP(REPLACE(C130,1,8," "),$W$2:$X$46,2,FALSE)</f>
        <v>#N/A</v>
      </c>
    </row>
    <row r="131" spans="14:14" x14ac:dyDescent="0.2">
      <c r="N131" t="e">
        <f t="shared" si="4"/>
        <v>#N/A</v>
      </c>
    </row>
    <row r="132" spans="14:14" x14ac:dyDescent="0.2">
      <c r="N132" t="e">
        <f t="shared" si="4"/>
        <v>#N/A</v>
      </c>
    </row>
    <row r="133" spans="14:14" x14ac:dyDescent="0.2">
      <c r="N133" t="e">
        <f t="shared" si="4"/>
        <v>#N/A</v>
      </c>
    </row>
    <row r="134" spans="14:14" x14ac:dyDescent="0.2">
      <c r="N134" t="e">
        <f t="shared" si="4"/>
        <v>#N/A</v>
      </c>
    </row>
    <row r="135" spans="14:14" x14ac:dyDescent="0.2">
      <c r="N135" t="e">
        <f t="shared" si="4"/>
        <v>#N/A</v>
      </c>
    </row>
    <row r="136" spans="14:14" x14ac:dyDescent="0.2">
      <c r="N136" t="e">
        <f t="shared" si="4"/>
        <v>#N/A</v>
      </c>
    </row>
    <row r="137" spans="14:14" x14ac:dyDescent="0.2">
      <c r="N137" t="e">
        <f t="shared" si="4"/>
        <v>#N/A</v>
      </c>
    </row>
    <row r="138" spans="14:14" x14ac:dyDescent="0.2">
      <c r="N138" t="e">
        <f t="shared" si="4"/>
        <v>#N/A</v>
      </c>
    </row>
    <row r="139" spans="14:14" x14ac:dyDescent="0.2">
      <c r="N139" t="e">
        <f t="shared" si="4"/>
        <v>#N/A</v>
      </c>
    </row>
    <row r="140" spans="14:14" x14ac:dyDescent="0.2">
      <c r="N140" t="e">
        <f t="shared" si="4"/>
        <v>#N/A</v>
      </c>
    </row>
    <row r="141" spans="14:14" x14ac:dyDescent="0.2">
      <c r="N141" t="e">
        <f t="shared" si="4"/>
        <v>#N/A</v>
      </c>
    </row>
    <row r="142" spans="14:14" x14ac:dyDescent="0.2">
      <c r="N142" t="e">
        <f t="shared" si="4"/>
        <v>#N/A</v>
      </c>
    </row>
    <row r="143" spans="14:14" x14ac:dyDescent="0.2">
      <c r="N143" t="e">
        <f t="shared" si="4"/>
        <v>#N/A</v>
      </c>
    </row>
    <row r="144" spans="14:14" x14ac:dyDescent="0.2">
      <c r="N144" t="e">
        <f t="shared" si="4"/>
        <v>#N/A</v>
      </c>
    </row>
    <row r="145" spans="14:14" x14ac:dyDescent="0.2">
      <c r="N145" t="e">
        <f t="shared" si="4"/>
        <v>#N/A</v>
      </c>
    </row>
    <row r="146" spans="14:14" x14ac:dyDescent="0.2">
      <c r="N146" t="e">
        <f t="shared" si="4"/>
        <v>#N/A</v>
      </c>
    </row>
    <row r="147" spans="14:14" x14ac:dyDescent="0.2">
      <c r="N147" t="e">
        <f t="shared" si="4"/>
        <v>#N/A</v>
      </c>
    </row>
    <row r="148" spans="14:14" x14ac:dyDescent="0.2">
      <c r="N148" t="e">
        <f t="shared" si="4"/>
        <v>#N/A</v>
      </c>
    </row>
    <row r="149" spans="14:14" x14ac:dyDescent="0.2">
      <c r="N149" t="e">
        <f t="shared" si="4"/>
        <v>#N/A</v>
      </c>
    </row>
    <row r="150" spans="14:14" x14ac:dyDescent="0.2">
      <c r="N150" t="e">
        <f t="shared" si="4"/>
        <v>#N/A</v>
      </c>
    </row>
    <row r="151" spans="14:14" x14ac:dyDescent="0.2">
      <c r="N151" t="e">
        <f t="shared" si="4"/>
        <v>#N/A</v>
      </c>
    </row>
    <row r="152" spans="14:14" x14ac:dyDescent="0.2">
      <c r="N152" t="e">
        <f t="shared" si="4"/>
        <v>#N/A</v>
      </c>
    </row>
    <row r="153" spans="14:14" x14ac:dyDescent="0.2">
      <c r="N153" t="e">
        <f t="shared" si="4"/>
        <v>#N/A</v>
      </c>
    </row>
    <row r="154" spans="14:14" x14ac:dyDescent="0.2">
      <c r="N154" t="e">
        <f t="shared" si="4"/>
        <v>#N/A</v>
      </c>
    </row>
    <row r="155" spans="14:14" x14ac:dyDescent="0.2">
      <c r="N155" t="e">
        <f t="shared" si="4"/>
        <v>#N/A</v>
      </c>
    </row>
    <row r="156" spans="14:14" x14ac:dyDescent="0.2">
      <c r="N156" t="e">
        <f t="shared" si="4"/>
        <v>#N/A</v>
      </c>
    </row>
    <row r="157" spans="14:14" x14ac:dyDescent="0.2">
      <c r="N157" t="e">
        <f t="shared" si="4"/>
        <v>#N/A</v>
      </c>
    </row>
    <row r="158" spans="14:14" x14ac:dyDescent="0.2">
      <c r="N158" t="e">
        <f t="shared" si="4"/>
        <v>#N/A</v>
      </c>
    </row>
    <row r="159" spans="14:14" x14ac:dyDescent="0.2">
      <c r="N159" t="e">
        <f t="shared" si="4"/>
        <v>#N/A</v>
      </c>
    </row>
    <row r="160" spans="14:14" x14ac:dyDescent="0.2">
      <c r="N160" t="e">
        <f t="shared" si="4"/>
        <v>#N/A</v>
      </c>
    </row>
    <row r="161" spans="14:14" x14ac:dyDescent="0.2">
      <c r="N161" t="e">
        <f t="shared" si="4"/>
        <v>#N/A</v>
      </c>
    </row>
    <row r="162" spans="14:14" x14ac:dyDescent="0.2">
      <c r="N162" t="e">
        <f t="shared" ref="N162:N182" si="5">VLOOKUP(REPLACE(C162,1,8," "),$W$2:$X$46,2,FALSE)</f>
        <v>#N/A</v>
      </c>
    </row>
    <row r="163" spans="14:14" x14ac:dyDescent="0.2">
      <c r="N163" t="e">
        <f t="shared" si="5"/>
        <v>#N/A</v>
      </c>
    </row>
    <row r="164" spans="14:14" x14ac:dyDescent="0.2">
      <c r="N164" t="e">
        <f t="shared" si="5"/>
        <v>#N/A</v>
      </c>
    </row>
    <row r="165" spans="14:14" x14ac:dyDescent="0.2">
      <c r="N165" t="e">
        <f t="shared" si="5"/>
        <v>#N/A</v>
      </c>
    </row>
    <row r="166" spans="14:14" x14ac:dyDescent="0.2">
      <c r="N166" t="e">
        <f t="shared" si="5"/>
        <v>#N/A</v>
      </c>
    </row>
    <row r="167" spans="14:14" x14ac:dyDescent="0.2">
      <c r="N167" t="e">
        <f t="shared" si="5"/>
        <v>#N/A</v>
      </c>
    </row>
    <row r="168" spans="14:14" x14ac:dyDescent="0.2">
      <c r="N168" t="e">
        <f t="shared" si="5"/>
        <v>#N/A</v>
      </c>
    </row>
    <row r="169" spans="14:14" x14ac:dyDescent="0.2">
      <c r="N169" t="e">
        <f t="shared" si="5"/>
        <v>#N/A</v>
      </c>
    </row>
    <row r="170" spans="14:14" x14ac:dyDescent="0.2">
      <c r="N170" t="e">
        <f t="shared" si="5"/>
        <v>#N/A</v>
      </c>
    </row>
    <row r="171" spans="14:14" x14ac:dyDescent="0.2">
      <c r="N171" t="e">
        <f t="shared" si="5"/>
        <v>#N/A</v>
      </c>
    </row>
    <row r="172" spans="14:14" x14ac:dyDescent="0.2">
      <c r="N172" t="e">
        <f t="shared" si="5"/>
        <v>#N/A</v>
      </c>
    </row>
    <row r="173" spans="14:14" x14ac:dyDescent="0.2">
      <c r="N173" t="e">
        <f t="shared" si="5"/>
        <v>#N/A</v>
      </c>
    </row>
    <row r="174" spans="14:14" x14ac:dyDescent="0.2">
      <c r="N174" t="e">
        <f t="shared" si="5"/>
        <v>#N/A</v>
      </c>
    </row>
    <row r="175" spans="14:14" x14ac:dyDescent="0.2">
      <c r="N175" t="e">
        <f t="shared" si="5"/>
        <v>#N/A</v>
      </c>
    </row>
    <row r="176" spans="14:14" x14ac:dyDescent="0.2">
      <c r="N176" t="e">
        <f t="shared" si="5"/>
        <v>#N/A</v>
      </c>
    </row>
    <row r="177" spans="14:14" x14ac:dyDescent="0.2">
      <c r="N177" t="e">
        <f t="shared" si="5"/>
        <v>#N/A</v>
      </c>
    </row>
    <row r="178" spans="14:14" x14ac:dyDescent="0.2">
      <c r="N178" t="e">
        <f t="shared" si="5"/>
        <v>#N/A</v>
      </c>
    </row>
    <row r="179" spans="14:14" x14ac:dyDescent="0.2">
      <c r="N179" t="e">
        <f t="shared" si="5"/>
        <v>#N/A</v>
      </c>
    </row>
    <row r="180" spans="14:14" x14ac:dyDescent="0.2">
      <c r="N180" t="e">
        <f t="shared" si="5"/>
        <v>#N/A</v>
      </c>
    </row>
    <row r="181" spans="14:14" x14ac:dyDescent="0.2">
      <c r="N181" t="e">
        <f t="shared" si="5"/>
        <v>#N/A</v>
      </c>
    </row>
    <row r="182" spans="14:14" x14ac:dyDescent="0.2">
      <c r="N182" t="e">
        <f t="shared" si="5"/>
        <v>#N/A</v>
      </c>
    </row>
  </sheetData>
  <sortState ref="W2:X46">
    <sortCondition ref="W2:W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Home</cp:lastModifiedBy>
  <cp:lastPrinted>2018-08-01T08:23:10Z</cp:lastPrinted>
  <dcterms:created xsi:type="dcterms:W3CDTF">2018-07-29T15:33:45Z</dcterms:created>
  <dcterms:modified xsi:type="dcterms:W3CDTF">2018-08-10T14:55:27Z</dcterms:modified>
</cp:coreProperties>
</file>