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n asa\Desktop\jm\JS\משרד העבודה\נילי זקס\"/>
    </mc:Choice>
  </mc:AlternateContent>
  <bookViews>
    <workbookView xWindow="0" yWindow="0" windowWidth="24720" windowHeight="11685"/>
  </bookViews>
  <sheets>
    <sheet name="דוח" sheetId="2" r:id="rId1"/>
    <sheet name="שקלול הציון" sheetId="1" r:id="rId2"/>
    <sheet name="ליקויים מהמערכת" sheetId="3" r:id="rId3"/>
  </sheets>
  <definedNames>
    <definedName name="_xlnm._FilterDatabase" localSheetId="2" hidden="1">'ליקויים מהמערכת'!$A$2:$H$55</definedName>
    <definedName name="_xlnm.Print_Area" localSheetId="0">דוח!$A$1:$L$72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2" l="1"/>
  <c r="F38" i="2"/>
  <c r="F37" i="2"/>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U4" i="1"/>
  <c r="U49" i="1" l="1"/>
  <c r="F36" i="2"/>
  <c r="G51" i="1" l="1"/>
  <c r="C50" i="2" l="1"/>
  <c r="A16" i="2" l="1"/>
  <c r="A17" i="2" s="1"/>
  <c r="A18" i="2" s="1"/>
  <c r="A19" i="2" s="1"/>
  <c r="A20" i="2" s="1"/>
  <c r="A21" i="2" s="1"/>
  <c r="F40" i="2" l="1"/>
  <c r="B21" i="2"/>
  <c r="B20" i="2"/>
  <c r="B19" i="2"/>
  <c r="B18" i="2"/>
  <c r="B17" i="2"/>
  <c r="B16" i="2"/>
  <c r="B15" i="2"/>
  <c r="H48" i="1" l="1"/>
  <c r="H47" i="1"/>
  <c r="H46" i="1"/>
  <c r="J45" i="1"/>
  <c r="H44" i="1"/>
  <c r="J43" i="1"/>
  <c r="H43" i="1"/>
  <c r="K43" i="1" s="1"/>
  <c r="M43" i="1" s="1"/>
  <c r="J42" i="1"/>
  <c r="H42" i="1"/>
  <c r="I42" i="1" s="1"/>
  <c r="H41" i="1"/>
  <c r="J40" i="1"/>
  <c r="J39" i="1"/>
  <c r="H38" i="1"/>
  <c r="H37" i="1"/>
  <c r="J36" i="1"/>
  <c r="J35" i="1"/>
  <c r="H34" i="1"/>
  <c r="J33" i="1"/>
  <c r="J32" i="1"/>
  <c r="H32" i="1"/>
  <c r="K32" i="1" s="1"/>
  <c r="M32" i="1" s="1"/>
  <c r="H31" i="1"/>
  <c r="H30" i="1"/>
  <c r="K27" i="1"/>
  <c r="M27" i="1" s="1"/>
  <c r="H28" i="1"/>
  <c r="H27" i="1"/>
  <c r="H25" i="1"/>
  <c r="H24" i="1"/>
  <c r="J23" i="1"/>
  <c r="H23" i="1"/>
  <c r="K23" i="1" s="1"/>
  <c r="M23" i="1" s="1"/>
  <c r="H22" i="1"/>
  <c r="K21" i="1"/>
  <c r="M21" i="1" s="1"/>
  <c r="H21" i="1"/>
  <c r="J20" i="1"/>
  <c r="H20" i="1"/>
  <c r="H19" i="1"/>
  <c r="H17" i="1"/>
  <c r="H16" i="1"/>
  <c r="H15" i="1"/>
  <c r="H14" i="1"/>
  <c r="J13" i="1"/>
  <c r="H12" i="1"/>
  <c r="J11" i="1"/>
  <c r="J10" i="1"/>
  <c r="H8" i="1"/>
  <c r="J7" i="1"/>
  <c r="H6" i="1"/>
  <c r="H5" i="1"/>
  <c r="K4" i="1"/>
  <c r="M4" i="1" s="1"/>
  <c r="H4" i="1"/>
  <c r="I43" i="1" l="1"/>
  <c r="I4" i="1"/>
  <c r="J5" i="1" s="1"/>
  <c r="J30" i="1"/>
  <c r="J38" i="1"/>
  <c r="J41" i="1"/>
  <c r="J25" i="1"/>
  <c r="J46" i="1"/>
  <c r="K46" i="1"/>
  <c r="M46" i="1" s="1"/>
  <c r="I46" i="1"/>
  <c r="H36" i="1"/>
  <c r="K36" i="1" s="1"/>
  <c r="M36" i="1" s="1"/>
  <c r="H11" i="1"/>
  <c r="J24" i="1"/>
  <c r="H29" i="1"/>
  <c r="I27" i="1" s="1"/>
  <c r="J29" i="1" s="1"/>
  <c r="J31" i="1"/>
  <c r="H33" i="1"/>
  <c r="J34" i="1"/>
  <c r="I21" i="1"/>
  <c r="J21" i="1" s="1"/>
  <c r="J37" i="1"/>
  <c r="J47" i="1"/>
  <c r="I31" i="1"/>
  <c r="K31" i="1"/>
  <c r="M31" i="1" s="1"/>
  <c r="I34" i="1"/>
  <c r="K34" i="1"/>
  <c r="K37" i="1"/>
  <c r="M37" i="1" s="1"/>
  <c r="I37" i="1"/>
  <c r="K47" i="1"/>
  <c r="M47" i="1" s="1"/>
  <c r="I47" i="1"/>
  <c r="K24" i="1"/>
  <c r="M24" i="1" s="1"/>
  <c r="I24" i="1"/>
  <c r="K30" i="1"/>
  <c r="I30" i="1"/>
  <c r="J22" i="1"/>
  <c r="I38" i="1"/>
  <c r="K38" i="1"/>
  <c r="M38" i="1" s="1"/>
  <c r="K41" i="1"/>
  <c r="M41" i="1" s="1"/>
  <c r="I41" i="1"/>
  <c r="I44" i="1"/>
  <c r="K44" i="1"/>
  <c r="M44" i="1" s="1"/>
  <c r="I48" i="1"/>
  <c r="K48" i="1"/>
  <c r="M48" i="1" s="1"/>
  <c r="H40" i="1"/>
  <c r="K42" i="1"/>
  <c r="J44" i="1"/>
  <c r="J48" i="1"/>
  <c r="K6" i="1"/>
  <c r="M6" i="1" s="1"/>
  <c r="H7" i="1"/>
  <c r="I6" i="1" s="1"/>
  <c r="J6" i="1" s="1"/>
  <c r="I23" i="1"/>
  <c r="K25" i="1"/>
  <c r="M25" i="1" s="1"/>
  <c r="H26" i="1"/>
  <c r="I25" i="1" s="1"/>
  <c r="J26" i="1" s="1"/>
  <c r="I32" i="1"/>
  <c r="H35" i="1"/>
  <c r="H39" i="1"/>
  <c r="H45" i="1"/>
  <c r="H10" i="1"/>
  <c r="K12" i="1"/>
  <c r="H13" i="1"/>
  <c r="H18" i="1"/>
  <c r="K10" i="1"/>
  <c r="M10" i="1" s="1"/>
  <c r="K8" i="1"/>
  <c r="M8" i="1" s="1"/>
  <c r="H9" i="1"/>
  <c r="I8" i="1" s="1"/>
  <c r="J8" i="1" l="1"/>
  <c r="J9" i="1"/>
  <c r="J4" i="1"/>
  <c r="I36" i="1"/>
  <c r="I10" i="1"/>
  <c r="J28" i="1"/>
  <c r="J27" i="1"/>
  <c r="L46" i="1"/>
  <c r="N47" i="1" s="1"/>
  <c r="L4" i="1"/>
  <c r="I12" i="1"/>
  <c r="K33" i="1"/>
  <c r="M33" i="1" s="1"/>
  <c r="I33" i="1"/>
  <c r="M42" i="1"/>
  <c r="I39" i="1"/>
  <c r="K39" i="1"/>
  <c r="M30" i="1"/>
  <c r="M34" i="1"/>
  <c r="I35" i="1"/>
  <c r="K35" i="1"/>
  <c r="M35" i="1" s="1"/>
  <c r="K40" i="1"/>
  <c r="M40" i="1" s="1"/>
  <c r="I40" i="1"/>
  <c r="M12" i="1"/>
  <c r="L12" i="1" s="1"/>
  <c r="I45" i="1"/>
  <c r="K45" i="1"/>
  <c r="M45" i="1" s="1"/>
  <c r="J18" i="1" l="1"/>
  <c r="J14" i="1"/>
  <c r="N8" i="1"/>
  <c r="J17" i="1"/>
  <c r="J12" i="1"/>
  <c r="L30" i="1"/>
  <c r="N31" i="1" s="1"/>
  <c r="N46" i="1"/>
  <c r="N48" i="1"/>
  <c r="N10" i="1"/>
  <c r="O46" i="1"/>
  <c r="P46" i="1" s="1"/>
  <c r="J19" i="1"/>
  <c r="N4" i="1"/>
  <c r="O4" i="1"/>
  <c r="P4" i="1" s="1"/>
  <c r="N6" i="1"/>
  <c r="J16" i="1"/>
  <c r="J15" i="1"/>
  <c r="N25" i="1"/>
  <c r="O12" i="1"/>
  <c r="P12" i="1" s="1"/>
  <c r="N23" i="1"/>
  <c r="N21" i="1"/>
  <c r="N27" i="1"/>
  <c r="N24" i="1"/>
  <c r="L42" i="1"/>
  <c r="L34" i="1"/>
  <c r="M39" i="1"/>
  <c r="L39" i="1" s="1"/>
  <c r="N30" i="1" l="1"/>
  <c r="N32" i="1"/>
  <c r="O30" i="1"/>
  <c r="P30" i="1" s="1"/>
  <c r="N33" i="1"/>
  <c r="N12" i="1"/>
  <c r="N39" i="1"/>
  <c r="N40" i="1"/>
  <c r="N41" i="1"/>
  <c r="O39" i="1"/>
  <c r="P39" i="1" s="1"/>
  <c r="N44" i="1"/>
  <c r="N42" i="1"/>
  <c r="N45" i="1"/>
  <c r="N43" i="1"/>
  <c r="O42" i="1"/>
  <c r="P42" i="1" s="1"/>
  <c r="N38" i="1"/>
  <c r="N35" i="1"/>
  <c r="N36" i="1"/>
  <c r="O34" i="1"/>
  <c r="P34" i="1" s="1"/>
  <c r="N37" i="1"/>
  <c r="N34" i="1"/>
  <c r="Q34" i="1" l="1"/>
  <c r="Q39" i="1"/>
  <c r="Q4" i="1"/>
  <c r="Q46" i="1"/>
  <c r="Q12" i="1"/>
  <c r="Q30" i="1"/>
  <c r="Q42" i="1"/>
  <c r="D21" i="2" l="1"/>
  <c r="Y21" i="2" s="1"/>
  <c r="D15" i="2"/>
  <c r="D19" i="2"/>
  <c r="Y19" i="2" s="1"/>
  <c r="D20" i="2"/>
  <c r="Y20" i="2" s="1"/>
  <c r="D17" i="2"/>
  <c r="Y17" i="2" s="1"/>
  <c r="D16" i="2"/>
  <c r="Y16" i="2" s="1"/>
  <c r="D18" i="2"/>
  <c r="Y18" i="2" s="1"/>
  <c r="Y15" i="2" l="1"/>
  <c r="D22" i="2"/>
  <c r="C26" i="2" s="1"/>
  <c r="X21" i="2"/>
  <c r="C21" i="2"/>
  <c r="Y23" i="2" l="1"/>
  <c r="Y22" i="2"/>
  <c r="Y24" i="2" l="1"/>
  <c r="X18" i="2" l="1"/>
  <c r="C18" i="2"/>
  <c r="X19" i="2"/>
  <c r="C19" i="2"/>
  <c r="C16" i="2"/>
  <c r="C17" i="2"/>
  <c r="X16" i="2"/>
  <c r="C20" i="2"/>
  <c r="X20" i="2"/>
  <c r="X17" i="2"/>
  <c r="X15" i="2"/>
  <c r="C15" i="2"/>
  <c r="C22" i="2" l="1"/>
  <c r="X22" i="2"/>
</calcChain>
</file>

<file path=xl/sharedStrings.xml><?xml version="1.0" encoding="utf-8"?>
<sst xmlns="http://schemas.openxmlformats.org/spreadsheetml/2006/main" count="246" uniqueCount="188">
  <si>
    <t>סכנת נפילת אדם</t>
  </si>
  <si>
    <t>סכנת התמוטטות</t>
  </si>
  <si>
    <t>נפילת חפצים ופסולת מגובה</t>
  </si>
  <si>
    <t>סיכוני שינוע</t>
  </si>
  <si>
    <t>שימוש בציוד מגן</t>
  </si>
  <si>
    <t>רמת ארגון אתר</t>
  </si>
  <si>
    <t>סיכוני עבודה חמה</t>
  </si>
  <si>
    <t>עבודה על גג/תקרה של בניין</t>
  </si>
  <si>
    <t>עבודה ללא רתמות בטיחות</t>
  </si>
  <si>
    <t>גידור רצפות מעברים/מרפסות/פיגומים למניעת נפילת אדם.</t>
  </si>
  <si>
    <t>פיגומים אינם קיימים</t>
  </si>
  <si>
    <t>פיגומים אינם מורכבים כראוי</t>
  </si>
  <si>
    <t xml:space="preserve">התקנת מערכת טפסות </t>
  </si>
  <si>
    <t>אחסון תבניות מתועשות ללא תמיכה</t>
  </si>
  <si>
    <t xml:space="preserve">הנחת אלמנטים טרומיים </t>
  </si>
  <si>
    <t xml:space="preserve">דפנות חפירה/קיר חצוב </t>
  </si>
  <si>
    <t>סיכוני עגורן צריח</t>
  </si>
  <si>
    <t>השלכה יזומה של חומרים וציוד מגובה</t>
  </si>
  <si>
    <t>השלכת פסולת בניה</t>
  </si>
  <si>
    <t>קיום ציוד וחומרים בשפת רצפות</t>
  </si>
  <si>
    <t xml:space="preserve">לוח רגל ברצפות פיגום </t>
  </si>
  <si>
    <t>אתתים</t>
  </si>
  <si>
    <t>שינוע מטענים</t>
  </si>
  <si>
    <t>הנפת שקי באלות (ביג-בגס)</t>
  </si>
  <si>
    <t>הנפת מטען בעגורן</t>
  </si>
  <si>
    <t>הנפת מטען בקרבה לקווי מתח</t>
  </si>
  <si>
    <t>קסדות מגן</t>
  </si>
  <si>
    <t>נעלי עבודה</t>
  </si>
  <si>
    <t>משקפי מגן</t>
  </si>
  <si>
    <t>קיום שלט באתר</t>
  </si>
  <si>
    <t>מכשולים על הקרקע</t>
  </si>
  <si>
    <t>קיום תא שירותים</t>
  </si>
  <si>
    <t>קיום גידור הקיפי</t>
  </si>
  <si>
    <t>ביצוע עבודות עם ביטומן</t>
  </si>
  <si>
    <t>קיום גידור (עבודה על גג/תקרה של בניין)</t>
  </si>
  <si>
    <t>תקינות הגידור – אזני יד/תיכון, זקפי גידור (עבודה על גג/תקרה של בניין)</t>
  </si>
  <si>
    <t>שימוש ברתמות בטיחות.</t>
  </si>
  <si>
    <t>קיום גידור (מעברים/מרפסות/ פיגומים)</t>
  </si>
  <si>
    <t>תקינות הגידור – אזני יד/תיכון, זקפי גידור (מעברים/מרפסות/פיגומים)</t>
  </si>
  <si>
    <t>עמידה על משטחי עבודה מאולתרים</t>
  </si>
  <si>
    <t>פיגום זיזי –  עיגון זיזים לקוי, אורך משטח עבודה בפינת הבניין לקוי, מפתח בין זיזים</t>
  </si>
  <si>
    <t>פיגום עצמאי – ביסוס, גובה הפיגום, מעצורים</t>
  </si>
  <si>
    <t>פיגום ממוכן – שלוחות מאובטחות, כבלי תלוי מתוחים, שיפוע הפיגום.</t>
  </si>
  <si>
    <t>משטח אחסנה מבוטן ומפולס, קיום תמיכות לתבניות</t>
  </si>
  <si>
    <t>ציון</t>
  </si>
  <si>
    <r>
      <rPr>
        <sz val="7"/>
        <color theme="1"/>
        <rFont val="Times New Roman"/>
        <family val="1"/>
      </rPr>
      <t xml:space="preserve">  </t>
    </r>
    <r>
      <rPr>
        <sz val="11.5"/>
        <color theme="1"/>
        <rFont val="David"/>
        <family val="2"/>
      </rPr>
      <t xml:space="preserve">פיגום זקפים – </t>
    </r>
    <r>
      <rPr>
        <sz val="11"/>
        <color theme="1"/>
        <rFont val="Arial"/>
        <family val="1"/>
      </rPr>
      <t>חוסר /תקינות קשירות זקפים למבנה</t>
    </r>
  </si>
  <si>
    <r>
      <rPr>
        <sz val="7"/>
        <color theme="1"/>
        <rFont val="Times New Roman"/>
        <family val="1"/>
      </rPr>
      <t xml:space="preserve">  </t>
    </r>
    <r>
      <rPr>
        <sz val="11.5"/>
        <color theme="1"/>
        <rFont val="David"/>
        <family val="2"/>
      </rPr>
      <t>פיגום זקפים - חוסר באלכסונים, תקינות קשירות לזקפים</t>
    </r>
  </si>
  <si>
    <r>
      <rPr>
        <sz val="7"/>
        <color theme="1"/>
        <rFont val="Times New Roman"/>
        <family val="1"/>
      </rPr>
      <t xml:space="preserve">  </t>
    </r>
    <r>
      <rPr>
        <sz val="11.5"/>
        <color theme="1"/>
        <rFont val="David"/>
        <family val="2"/>
      </rPr>
      <t>פיגום זקפים - חוסר בזקפים כפולים</t>
    </r>
  </si>
  <si>
    <r>
      <rPr>
        <sz val="7"/>
        <color theme="1"/>
        <rFont val="Times New Roman"/>
        <family val="1"/>
      </rPr>
      <t xml:space="preserve">  </t>
    </r>
    <r>
      <rPr>
        <sz val="11.5"/>
        <color theme="1"/>
        <rFont val="David"/>
        <family val="2"/>
      </rPr>
      <t>פיגום זקפים - ביסוס לקוי</t>
    </r>
  </si>
  <si>
    <r>
      <rPr>
        <sz val="7"/>
        <color theme="1"/>
        <rFont val="Times New Roman"/>
        <family val="1"/>
      </rPr>
      <t xml:space="preserve">  </t>
    </r>
    <r>
      <rPr>
        <sz val="11.5"/>
        <color theme="1"/>
        <rFont val="David"/>
        <family val="2"/>
      </rPr>
      <t>שימוש לקוי בתמיכות אלכסוניות למערכת טפסות</t>
    </r>
  </si>
  <si>
    <r>
      <rPr>
        <sz val="7"/>
        <color theme="1"/>
        <rFont val="Times New Roman"/>
        <family val="1"/>
      </rPr>
      <t xml:space="preserve">   </t>
    </r>
    <r>
      <rPr>
        <sz val="11.5"/>
        <color theme="1"/>
        <rFont val="David"/>
        <family val="2"/>
      </rPr>
      <t>התקנת רשת בקיר חצוב למניעת הדרדרות אבנים</t>
    </r>
  </si>
  <si>
    <r>
      <rPr>
        <sz val="7"/>
        <color theme="1"/>
        <rFont val="Times New Roman"/>
        <family val="1"/>
      </rPr>
      <t xml:space="preserve">  </t>
    </r>
    <r>
      <rPr>
        <sz val="11.5"/>
        <color theme="1"/>
        <rFont val="David"/>
        <family val="2"/>
      </rPr>
      <t>הנחת ציוד, חומרי בניין ופסולת על גבי ספי רצפות/מרפסות/מעקות</t>
    </r>
  </si>
  <si>
    <r>
      <rPr>
        <sz val="7"/>
        <color theme="1"/>
        <rFont val="Times New Roman"/>
        <family val="1"/>
      </rPr>
      <t xml:space="preserve">  </t>
    </r>
    <r>
      <rPr>
        <sz val="11.5"/>
        <color theme="1"/>
        <rFont val="David"/>
        <family val="2"/>
      </rPr>
      <t>קיום שלט במקום נראה לעין הכולל את פרטי המבצע, מנ"ע ומהות הבניה</t>
    </r>
  </si>
  <si>
    <r>
      <rPr>
        <sz val="7"/>
        <color theme="1"/>
        <rFont val="Times New Roman"/>
        <family val="1"/>
      </rPr>
      <t xml:space="preserve">  </t>
    </r>
    <r>
      <rPr>
        <sz val="11.5"/>
        <color theme="1"/>
        <rFont val="David"/>
        <family val="2"/>
      </rPr>
      <t>פסולת בניה שפזורה בשטח האתר המהווה מכשולים</t>
    </r>
  </si>
  <si>
    <t>קטגוריה</t>
  </si>
  <si>
    <t>ציון ליקוי</t>
  </si>
  <si>
    <t>ציון משוקלל ליקוי</t>
  </si>
  <si>
    <t>ציון משוקלל לקטגוריה</t>
  </si>
  <si>
    <t>ציון משוקללנושא</t>
  </si>
  <si>
    <t>ליקויים למפגע</t>
  </si>
  <si>
    <t>מפגעים</t>
  </si>
  <si>
    <t>משקל קטגוריה</t>
  </si>
  <si>
    <t>משקל מפגעים</t>
  </si>
  <si>
    <t>משקל ליקויים למפגע</t>
  </si>
  <si>
    <t>תאריך:</t>
  </si>
  <si>
    <t>שעה:</t>
  </si>
  <si>
    <t>סייר נוסף:</t>
  </si>
  <si>
    <t>שם הסייר:</t>
  </si>
  <si>
    <t>נ"צ X:</t>
  </si>
  <si>
    <t>נ"צ Y:</t>
  </si>
  <si>
    <t>שטח בנוי:</t>
  </si>
  <si>
    <t>שם מנהל העבודה באתר:</t>
  </si>
  <si>
    <t>רמת בטיחות:</t>
  </si>
  <si>
    <t>שם היזם:</t>
  </si>
  <si>
    <t>שם הקבלן:</t>
  </si>
  <si>
    <t>ח.פ יזם:</t>
  </si>
  <si>
    <t>ח.פ. קבלן:</t>
  </si>
  <si>
    <t>מס בניין</t>
  </si>
  <si>
    <t>שלב ביצוע</t>
  </si>
  <si>
    <t>מס' קומות בעת הביקור</t>
  </si>
  <si>
    <t>הערכת שטח בנוי</t>
  </si>
  <si>
    <t>שטח קומה טיפוסית</t>
  </si>
  <si>
    <t>כלים טעוני בדיקה</t>
  </si>
  <si>
    <t>תיאור</t>
  </si>
  <si>
    <t>כמות</t>
  </si>
  <si>
    <t>מיקום באתר</t>
  </si>
  <si>
    <t>עגורן צריח</t>
  </si>
  <si>
    <t>פיגום ממוכן</t>
  </si>
  <si>
    <t>מעלית בניה</t>
  </si>
  <si>
    <t>כננת הרמה</t>
  </si>
  <si>
    <t>במות הרמה</t>
  </si>
  <si>
    <t>משקל בסיור</t>
  </si>
  <si>
    <t>סה"כ</t>
  </si>
  <si>
    <t>נתוני בניינים בזמן הסיור</t>
  </si>
  <si>
    <t>תאור הביקור והתרשמות עורך הסקר</t>
  </si>
  <si>
    <t>ת.ז:</t>
  </si>
  <si>
    <t>הסקירה בוצעה ע"י אפליקציית JUST MANAGE</t>
  </si>
  <si>
    <t>להוציא צו הפסקת עבודה</t>
  </si>
  <si>
    <t>פעולות המשך לביצוע - משרד העבודה</t>
  </si>
  <si>
    <t>ליצור קשר עם מנהל העבוהד באתר</t>
  </si>
  <si>
    <t xml:space="preserve">לשלוח מכתב לקבלן </t>
  </si>
  <si>
    <t>לשלוח מפקח אחראי לסיור המשך</t>
  </si>
  <si>
    <t>לשלוח לאתר את דוח הממצאים</t>
  </si>
  <si>
    <t>לשלוח דוח כספי לאתר</t>
  </si>
  <si>
    <t>סה"כ כלים באתר</t>
  </si>
  <si>
    <t>פרטי הפרוקט והסיור</t>
  </si>
  <si>
    <t>ציון הפרויקט</t>
  </si>
  <si>
    <t>עיר:</t>
  </si>
  <si>
    <t>רחוב:</t>
  </si>
  <si>
    <t>מספר:</t>
  </si>
  <si>
    <t>גוש:</t>
  </si>
  <si>
    <t>חלקה:</t>
  </si>
  <si>
    <t>פרויקט</t>
  </si>
  <si>
    <t>RowIndex</t>
  </si>
  <si>
    <t>SpaceActivityId</t>
  </si>
  <si>
    <t>ActivityName</t>
  </si>
  <si>
    <t>StartDate</t>
  </si>
  <si>
    <t>EndDate</t>
  </si>
  <si>
    <t>Duration</t>
  </si>
  <si>
    <t>SpaceDescription</t>
  </si>
  <si>
    <t>ImplementationPercent</t>
  </si>
  <si>
    <t>Ancestors</t>
  </si>
  <si>
    <r>
      <rPr>
        <sz val="11.5"/>
        <color theme="1"/>
        <rFont val="David"/>
        <family val="2"/>
      </rPr>
      <t>אי קשירת חבל רתמה לנקודת עיגון בטוחה</t>
    </r>
    <r>
      <rPr>
        <sz val="11"/>
        <color theme="1"/>
        <rFont val="Arial"/>
        <family val="1"/>
      </rPr>
      <t>.</t>
    </r>
  </si>
  <si>
    <t>עמידת עובד ישירות על חלקי טפסות/ תבניות</t>
  </si>
  <si>
    <t>פיגום זקפים  - עיגון זקף במקום  תליית זרוע גלגלת של כננת הרמה</t>
  </si>
  <si>
    <t>שימוש לקוי בתמיכות אנכיות למערכת טפסות</t>
  </si>
  <si>
    <t>הנחת אלמנטים טרומיים ללא קיבוע/תמיכה</t>
  </si>
  <si>
    <r>
      <rPr>
        <sz val="7"/>
        <color theme="1"/>
        <rFont val="Times New Roman"/>
        <family val="1"/>
      </rPr>
      <t xml:space="preserve"> </t>
    </r>
    <r>
      <rPr>
        <sz val="11.5"/>
        <color theme="1"/>
        <rFont val="David"/>
        <family val="2"/>
      </rPr>
      <t xml:space="preserve">ביצוע דיפון/שיפוע מתאים </t>
    </r>
  </si>
  <si>
    <t>רתום/אבטחת משקולות בסיס</t>
  </si>
  <si>
    <t>השלכת חומרים וציוד מגובה</t>
  </si>
  <si>
    <t>קיום מובל סגור (שוקת)  רציף ותקין, גידור מיקום השלכת פסולת</t>
  </si>
  <si>
    <t>קיום לוח רגל ברצפות פיגום זקפים</t>
  </si>
  <si>
    <t>זיהוי אתת המצויד במכשיר קשר/או באמצעות סימני ידיים מוסכמים</t>
  </si>
  <si>
    <t>צורת הנפת מטענים בעינוב ואביזרי הרמה מתאימים/מאולתרים</t>
  </si>
  <si>
    <r>
      <rPr>
        <sz val="11.5"/>
        <color theme="1"/>
        <rFont val="David"/>
        <family val="2"/>
      </rPr>
      <t xml:space="preserve">זיהוי שימוש בשקים לשינוע </t>
    </r>
    <r>
      <rPr>
        <u/>
        <sz val="11.5"/>
        <color theme="1"/>
        <rFont val="David"/>
        <family val="2"/>
      </rPr>
      <t>פסולת בניה</t>
    </r>
  </si>
  <si>
    <t>קיום לשונית אבטחה באונקל</t>
  </si>
  <si>
    <t>שמירת מרחק בטיחות מקווי חשמל עליים</t>
  </si>
  <si>
    <t>שימוש בקסדות מגן</t>
  </si>
  <si>
    <t>שימוש בנעלי עבודה</t>
  </si>
  <si>
    <t>שימוש במשקפי מגן</t>
  </si>
  <si>
    <t>מבנה שירותים תקין (עם דלת)</t>
  </si>
  <si>
    <t>גידור תקין, שער כניסה תקין</t>
  </si>
  <si>
    <t>הצבת חבית ביטומן על משטח לא יציב</t>
  </si>
  <si>
    <t>המצאות ציוד לכיבוי</t>
  </si>
  <si>
    <t>קיום מרחק בטיחות ממקום חימום ביטומן</t>
  </si>
  <si>
    <t xml:space="preserve">  שלטי ע.ע.ב  על גבי זרוע העגורן</t>
  </si>
  <si>
    <t xml:space="preserve">  שלטי פרסום על זרועות/תורן העגורן</t>
  </si>
  <si>
    <t>שרון מורדכי</t>
  </si>
  <si>
    <t>רן אסא</t>
  </si>
  <si>
    <t>052994688</t>
  </si>
  <si>
    <t>בניין:</t>
  </si>
  <si>
    <t>ראש העין</t>
  </si>
  <si>
    <t>מס' הזמנה</t>
  </si>
  <si>
    <t>שלד</t>
  </si>
  <si>
    <t xml:space="preserve">  פיגום זקפים – תקינות רצפות/סולמות, עומס יתר</t>
  </si>
  <si>
    <t>מס' עבודה/אפיק:</t>
  </si>
  <si>
    <t>סיכום סיור בפרויקט: יורי ראש העין</t>
  </si>
  <si>
    <t>3/3</t>
  </si>
  <si>
    <t>יורו - ישראל (י.ש) בע"מ</t>
  </si>
  <si>
    <t>נילי זקס</t>
  </si>
  <si>
    <t>512330705</t>
  </si>
  <si>
    <t>בוריס קוניקוב</t>
  </si>
  <si>
    <t>086494</t>
  </si>
  <si>
    <t>964926</t>
  </si>
  <si>
    <t>5581</t>
  </si>
  <si>
    <t>45. 46(חלק)</t>
  </si>
  <si>
    <t>ליקוי ל: שימוש ברתמות בטיחות.</t>
  </si>
  <si>
    <t>ליקוי ל: קיום גידור (עבודה על גג/תקרה של בניין)</t>
  </si>
  <si>
    <t>ליקוי ל: תקינות הגידור – אזני יד/תיכון, זקפי גידור (עבודה על גג/תקרה של בניין)</t>
  </si>
  <si>
    <t>ליקוי ל: שימוש בקסדות מגן</t>
  </si>
  <si>
    <t>ליקוי ל: קיום גידור (מעברים/מרפסות/ פיגומים)</t>
  </si>
  <si>
    <t>ליקוי ל: תקינות הגידור – אזני יד/תיכון, זקפי גידור (מעברים/מרפסות/פיגומים)</t>
  </si>
  <si>
    <t>ליקוי ל:   פסולת בניה שפזורה בשטח האתר המהווה מכשולים</t>
  </si>
  <si>
    <t>ליקוי ל: גידור תקין, שער כניסה תקין</t>
  </si>
  <si>
    <t>ליקוי ל:   קיום שלט במקום נראה לעין הכולל את פרטי המבצע, מנ"ע ומהות הבניה</t>
  </si>
  <si>
    <t>ליקוי ל: צורת הנפת מטענים בעינוב ואביזרי הרמה מתאימים/מאולתרים</t>
  </si>
  <si>
    <t>ליקוי ל: קיום לשונית אבטחה באונקל</t>
  </si>
  <si>
    <t>ליקוי ל: שמירת מרחק בטיחות מקווי חשמל עליים</t>
  </si>
  <si>
    <t>ליקוי ל: שימוש בנעלי עבודה</t>
  </si>
  <si>
    <t>ליקוי ל:   פיגום זקפים – תקינות רצפות/סולמות, עומס יתר</t>
  </si>
  <si>
    <t>ליקוי ל:   פיגום זקפים - חוסר באלכסונים, תקינות קשירות לזקפים</t>
  </si>
  <si>
    <t>ליקוי ל:   שלטי פרסום על זרועות/תורן העגורן</t>
  </si>
  <si>
    <t>ליקוי ל:   שלטי ע.ע.ב  על גבי זרוע העגורן</t>
  </si>
  <si>
    <t>ליקוי ל:   הנחת ציוד, חומרי בניין ופסולת על גבי ספי רצפות/מרפסות/מעקות</t>
  </si>
  <si>
    <t>ליקוי ל: קיום לוח רגל ברצפות פיגום זקפים</t>
  </si>
  <si>
    <t>ליקוי ל:   פיגום זקפים – חוסר /תקינות קשירות זקפים למבנה</t>
  </si>
  <si>
    <t>ליקוי ל: פיגום זיזי –  עיגון זיזים לקוי, אורך משטח עבודה בפינת הבניין לקוי, מפתח בין זיזים</t>
  </si>
  <si>
    <t>מצב הבטיחות באתר ברמה לא טובה, בעת ההגעה לאתר ניתן היה לראות פועל שעובד על סף הגג ללא רתמת בטיחות בצורה מסכנת חיים. בנוסף באחד מהעגורנים השתמשו בצורת הנפה לא תקינה- מפורט בדוח.</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</si>
</sst>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0.0000%"/>
    <numFmt numFmtId="166" formatCode="0.000000%"/>
  </numFmts>
  <fonts count="19" x14ac:knownFonts="1">
    <font>
      <sz val="11"/>
      <color theme="1"/>
      <name val="Arial"/>
      <family val="2"/>
      <charset val="177"/>
      <scheme val="minor"/>
    </font>
    <font>
      <sz val="11"/>
      <color theme="1"/>
      <name val="Arial"/>
      <family val="2"/>
      <charset val="177"/>
      <scheme val="minor"/>
    </font>
    <font>
      <sz val="11.5"/>
      <color theme="1"/>
      <name val="David"/>
      <family val="2"/>
    </font>
    <font>
      <sz val="11.5"/>
      <color theme="1"/>
      <name val="Calibri"/>
      <family val="2"/>
    </font>
    <font>
      <sz val="11"/>
      <color theme="1"/>
      <name val="Arial"/>
      <family val="1"/>
    </font>
    <font>
      <sz val="7"/>
      <color theme="1"/>
      <name val="Times New Roman"/>
      <family val="1"/>
    </font>
    <font>
      <u/>
      <sz val="11.5"/>
      <color theme="1"/>
      <name val="David"/>
      <family val="2"/>
    </font>
    <font>
      <b/>
      <sz val="11"/>
      <color theme="1"/>
      <name val="Arial"/>
      <family val="2"/>
      <scheme val="minor"/>
    </font>
    <font>
      <b/>
      <sz val="14"/>
      <color theme="1"/>
      <name val="Arial"/>
      <family val="2"/>
      <scheme val="minor"/>
    </font>
    <font>
      <sz val="14"/>
      <color theme="1"/>
      <name val="Arial"/>
      <family val="2"/>
      <scheme val="minor"/>
    </font>
    <font>
      <sz val="10"/>
      <color theme="1"/>
      <name val="Arial"/>
      <family val="2"/>
      <charset val="177"/>
      <scheme val="minor"/>
    </font>
    <font>
      <sz val="14"/>
      <color theme="1"/>
      <name val="Arial"/>
      <family val="2"/>
      <charset val="177"/>
      <scheme val="minor"/>
    </font>
    <font>
      <b/>
      <sz val="18"/>
      <color theme="1"/>
      <name val="Arial"/>
      <family val="2"/>
      <scheme val="minor"/>
    </font>
    <font>
      <b/>
      <sz val="14"/>
      <name val="Arial"/>
      <family val="2"/>
      <scheme val="minor"/>
    </font>
    <font>
      <sz val="11"/>
      <name val="Arial"/>
      <family val="2"/>
      <scheme val="minor"/>
    </font>
    <font>
      <sz val="11"/>
      <color rgb="FF000000"/>
      <name val="Calibri"/>
      <family val="2"/>
    </font>
    <font>
      <sz val="11"/>
      <color theme="1"/>
      <name val="Arial"/>
      <family val="2"/>
    </font>
    <font>
      <sz val="12"/>
      <color rgb="FF252525"/>
      <name val="Arial"/>
      <family val="2"/>
      <scheme val="minor"/>
    </font>
    <font>
      <sz val="11"/>
      <color theme="1"/>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6" tint="0.39997558519241921"/>
        <bgColor indexed="64"/>
      </patternFill>
    </fill>
    <fill>
      <patternFill patternType="solid">
        <fgColor theme="8" tint="0.59999389629810485"/>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right/>
      <top/>
      <bottom style="thin">
        <color theme="0" tint="-0.34998626667073579"/>
      </bottom>
      <diagonal/>
    </border>
    <border>
      <left style="thin">
        <color theme="4"/>
      </left>
      <right/>
      <top style="thin">
        <color theme="4"/>
      </top>
      <bottom/>
      <diagonal/>
    </border>
    <border>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Border="0"/>
  </cellStyleXfs>
  <cellXfs count="186">
    <xf numFmtId="0" fontId="0" fillId="0" borderId="0" xfId="0"/>
    <xf numFmtId="164" fontId="0" fillId="0" borderId="0" xfId="0" applyNumberFormat="1"/>
    <xf numFmtId="9" fontId="0" fillId="0" borderId="0" xfId="2" applyFont="1"/>
    <xf numFmtId="0" fontId="0" fillId="0" borderId="7" xfId="0" applyBorder="1"/>
    <xf numFmtId="0" fontId="2" fillId="0" borderId="12" xfId="0" applyFont="1" applyBorder="1" applyAlignment="1">
      <alignment wrapText="1"/>
    </xf>
    <xf numFmtId="0" fontId="4" fillId="0" borderId="12" xfId="0" applyFont="1" applyBorder="1" applyAlignment="1">
      <alignment wrapText="1"/>
    </xf>
    <xf numFmtId="0" fontId="2" fillId="0" borderId="12" xfId="0" applyFont="1" applyBorder="1" applyAlignment="1">
      <alignment horizontal="right" vertical="center" wrapText="1" readingOrder="2"/>
    </xf>
    <xf numFmtId="0" fontId="2" fillId="0" borderId="14" xfId="0" applyFont="1" applyBorder="1" applyAlignment="1">
      <alignment wrapText="1"/>
    </xf>
    <xf numFmtId="0" fontId="2" fillId="0" borderId="19" xfId="0" applyFont="1" applyBorder="1" applyAlignment="1">
      <alignment wrapText="1"/>
    </xf>
    <xf numFmtId="0" fontId="4" fillId="0" borderId="14" xfId="0" applyFont="1" applyBorder="1" applyAlignment="1">
      <alignment wrapText="1"/>
    </xf>
    <xf numFmtId="0" fontId="0" fillId="0" borderId="19" xfId="0" applyBorder="1" applyAlignment="1">
      <alignment wrapText="1"/>
    </xf>
    <xf numFmtId="0" fontId="7" fillId="2" borderId="4" xfId="0" applyFont="1" applyFill="1" applyBorder="1" applyAlignment="1">
      <alignment wrapText="1"/>
    </xf>
    <xf numFmtId="0" fontId="7" fillId="2" borderId="5" xfId="0" applyFont="1" applyFill="1" applyBorder="1" applyAlignment="1">
      <alignment wrapText="1"/>
    </xf>
    <xf numFmtId="0" fontId="7" fillId="2" borderId="6" xfId="0" applyFont="1" applyFill="1" applyBorder="1" applyAlignment="1">
      <alignment wrapText="1"/>
    </xf>
    <xf numFmtId="9" fontId="2" fillId="0" borderId="14" xfId="2" applyFont="1" applyBorder="1" applyAlignment="1">
      <alignment horizontal="center" vertical="center" wrapText="1"/>
    </xf>
    <xf numFmtId="9" fontId="2" fillId="2" borderId="14" xfId="2" applyFont="1" applyFill="1" applyBorder="1" applyAlignment="1">
      <alignment horizontal="center" vertical="center" wrapText="1"/>
    </xf>
    <xf numFmtId="9" fontId="0" fillId="0" borderId="14" xfId="2" applyFont="1" applyBorder="1" applyAlignment="1">
      <alignment horizontal="center" vertical="center"/>
    </xf>
    <xf numFmtId="164" fontId="0" fillId="3" borderId="14" xfId="2" applyNumberFormat="1" applyFont="1" applyFill="1" applyBorder="1" applyAlignment="1">
      <alignment horizontal="center" vertical="center"/>
    </xf>
    <xf numFmtId="9" fontId="2" fillId="0" borderId="12" xfId="2" applyFont="1" applyBorder="1" applyAlignment="1">
      <alignment horizontal="center" vertical="center" wrapText="1"/>
    </xf>
    <xf numFmtId="9" fontId="2" fillId="2" borderId="12" xfId="2" applyFont="1" applyFill="1" applyBorder="1" applyAlignment="1">
      <alignment horizontal="center" vertical="center" wrapText="1"/>
    </xf>
    <xf numFmtId="9" fontId="0" fillId="0" borderId="12" xfId="2" applyFont="1" applyBorder="1" applyAlignment="1">
      <alignment horizontal="center" vertical="center"/>
    </xf>
    <xf numFmtId="164" fontId="0" fillId="3" borderId="12" xfId="2" applyNumberFormat="1" applyFont="1" applyFill="1" applyBorder="1" applyAlignment="1">
      <alignment horizontal="center" vertical="center"/>
    </xf>
    <xf numFmtId="9" fontId="4" fillId="0" borderId="12" xfId="2" applyFont="1" applyBorder="1" applyAlignment="1">
      <alignment horizontal="center" vertical="center" wrapText="1"/>
    </xf>
    <xf numFmtId="9" fontId="4" fillId="2" borderId="12" xfId="2" applyFont="1" applyFill="1" applyBorder="1" applyAlignment="1">
      <alignment horizontal="center" vertical="center" wrapText="1"/>
    </xf>
    <xf numFmtId="9" fontId="2" fillId="0" borderId="19" xfId="2" applyFont="1" applyBorder="1" applyAlignment="1">
      <alignment horizontal="center" vertical="center" wrapText="1"/>
    </xf>
    <xf numFmtId="9" fontId="2" fillId="2" borderId="19" xfId="2" applyFont="1" applyFill="1" applyBorder="1" applyAlignment="1">
      <alignment horizontal="center" vertical="center" wrapText="1"/>
    </xf>
    <xf numFmtId="9" fontId="0" fillId="0" borderId="19" xfId="2" applyFont="1" applyBorder="1" applyAlignment="1">
      <alignment horizontal="center" vertical="center"/>
    </xf>
    <xf numFmtId="164" fontId="0" fillId="3" borderId="19" xfId="2" applyNumberFormat="1" applyFont="1" applyFill="1" applyBorder="1" applyAlignment="1">
      <alignment horizontal="center" vertical="center"/>
    </xf>
    <xf numFmtId="9" fontId="0" fillId="3" borderId="14" xfId="2" applyFont="1" applyFill="1" applyBorder="1" applyAlignment="1">
      <alignment horizontal="center" vertical="center"/>
    </xf>
    <xf numFmtId="9" fontId="0" fillId="3" borderId="12" xfId="2" applyFont="1" applyFill="1" applyBorder="1" applyAlignment="1">
      <alignment horizontal="center" vertical="center"/>
    </xf>
    <xf numFmtId="0" fontId="0" fillId="0" borderId="12" xfId="0" applyBorder="1" applyAlignment="1">
      <alignment horizontal="center" vertical="center"/>
    </xf>
    <xf numFmtId="9" fontId="4" fillId="2" borderId="19" xfId="2" applyFont="1" applyFill="1" applyBorder="1" applyAlignment="1">
      <alignment horizontal="center" vertical="center" wrapText="1"/>
    </xf>
    <xf numFmtId="9" fontId="0" fillId="3" borderId="19" xfId="2" applyFont="1" applyFill="1" applyBorder="1" applyAlignment="1">
      <alignment horizontal="center" vertical="center"/>
    </xf>
    <xf numFmtId="9" fontId="4" fillId="0" borderId="14" xfId="2" applyFont="1" applyBorder="1" applyAlignment="1">
      <alignment horizontal="center" vertical="center" wrapText="1"/>
    </xf>
    <xf numFmtId="9" fontId="4" fillId="2" borderId="14" xfId="2" applyFont="1" applyFill="1" applyBorder="1" applyAlignment="1">
      <alignment horizontal="center" vertical="center" wrapText="1"/>
    </xf>
    <xf numFmtId="0" fontId="0" fillId="0" borderId="14" xfId="0" applyBorder="1" applyAlignment="1">
      <alignment horizontal="center" vertical="center"/>
    </xf>
    <xf numFmtId="9" fontId="4" fillId="0" borderId="19" xfId="2" applyFont="1" applyBorder="1" applyAlignment="1">
      <alignment horizontal="center" vertical="center" wrapText="1"/>
    </xf>
    <xf numFmtId="0" fontId="0" fillId="0" borderId="19" xfId="0" applyBorder="1" applyAlignment="1">
      <alignment horizontal="center" vertical="center"/>
    </xf>
    <xf numFmtId="9" fontId="0" fillId="0" borderId="19" xfId="2" applyFont="1" applyBorder="1" applyAlignment="1">
      <alignment horizontal="center" vertical="center" wrapText="1"/>
    </xf>
    <xf numFmtId="9" fontId="0" fillId="2" borderId="19" xfId="2" applyFont="1" applyFill="1" applyBorder="1" applyAlignment="1">
      <alignment horizontal="center" vertical="center" wrapText="1"/>
    </xf>
    <xf numFmtId="9" fontId="0" fillId="3" borderId="12" xfId="2" applyNumberFormat="1" applyFont="1" applyFill="1" applyBorder="1" applyAlignment="1">
      <alignment horizontal="center" vertical="center"/>
    </xf>
    <xf numFmtId="9" fontId="0" fillId="3" borderId="19" xfId="2" applyNumberFormat="1" applyFont="1" applyFill="1" applyBorder="1" applyAlignment="1">
      <alignment horizontal="center" vertical="center"/>
    </xf>
    <xf numFmtId="0" fontId="2" fillId="0" borderId="14" xfId="0" applyFont="1" applyBorder="1" applyAlignment="1">
      <alignment horizontal="right" vertical="center" wrapText="1"/>
    </xf>
    <xf numFmtId="0" fontId="2" fillId="0" borderId="12" xfId="0" applyFont="1" applyBorder="1" applyAlignment="1">
      <alignment horizontal="right" vertical="center" wrapText="1"/>
    </xf>
    <xf numFmtId="0" fontId="2" fillId="0" borderId="19" xfId="0" applyFont="1" applyBorder="1" applyAlignment="1">
      <alignment horizontal="right" vertical="center" wrapText="1"/>
    </xf>
    <xf numFmtId="0" fontId="0" fillId="0" borderId="14" xfId="0" applyBorder="1" applyAlignment="1">
      <alignment horizontal="right" vertical="center" wrapText="1"/>
    </xf>
    <xf numFmtId="0" fontId="0" fillId="0" borderId="12" xfId="0" applyBorder="1" applyAlignment="1">
      <alignment horizontal="right" vertical="center" wrapText="1"/>
    </xf>
    <xf numFmtId="0" fontId="0" fillId="0" borderId="19" xfId="0" applyBorder="1" applyAlignment="1">
      <alignment horizontal="right" vertical="center" wrapText="1"/>
    </xf>
    <xf numFmtId="0" fontId="7" fillId="0" borderId="0" xfId="0" applyFont="1"/>
    <xf numFmtId="0" fontId="7" fillId="0" borderId="0" xfId="0" applyFont="1" applyAlignment="1">
      <alignment horizontal="left"/>
    </xf>
    <xf numFmtId="0" fontId="9" fillId="0" borderId="0" xfId="0" applyFont="1"/>
    <xf numFmtId="14" fontId="0" fillId="0" borderId="0" xfId="0" applyNumberFormat="1"/>
    <xf numFmtId="20" fontId="0" fillId="0" borderId="0" xfId="0" applyNumberFormat="1"/>
    <xf numFmtId="49" fontId="0" fillId="0" borderId="0" xfId="0" applyNumberFormat="1" applyAlignment="1">
      <alignment horizontal="right"/>
    </xf>
    <xf numFmtId="9" fontId="2" fillId="0" borderId="12" xfId="2" applyFont="1" applyBorder="1" applyAlignment="1">
      <alignment horizontal="center" vertical="center" readingOrder="2"/>
    </xf>
    <xf numFmtId="9" fontId="2" fillId="0" borderId="14" xfId="2" applyFont="1" applyBorder="1" applyAlignment="1">
      <alignment horizontal="center"/>
    </xf>
    <xf numFmtId="9" fontId="2" fillId="0" borderId="12" xfId="2" applyFont="1" applyBorder="1" applyAlignment="1">
      <alignment horizontal="center"/>
    </xf>
    <xf numFmtId="9" fontId="2" fillId="0" borderId="19" xfId="2" applyFont="1" applyBorder="1" applyAlignment="1">
      <alignment horizontal="center"/>
    </xf>
    <xf numFmtId="9" fontId="0" fillId="0" borderId="14" xfId="2" applyFont="1" applyBorder="1" applyAlignment="1">
      <alignment horizontal="center"/>
    </xf>
    <xf numFmtId="9" fontId="0" fillId="0" borderId="12" xfId="2" applyFont="1" applyBorder="1" applyAlignment="1">
      <alignment horizontal="center"/>
    </xf>
    <xf numFmtId="9" fontId="0" fillId="0" borderId="19" xfId="2" applyFont="1" applyBorder="1" applyAlignment="1">
      <alignment horizontal="center"/>
    </xf>
    <xf numFmtId="166" fontId="0" fillId="0" borderId="0" xfId="2" applyNumberFormat="1" applyFont="1"/>
    <xf numFmtId="0" fontId="0" fillId="0" borderId="0" xfId="0" applyBorder="1"/>
    <xf numFmtId="0" fontId="0" fillId="0" borderId="9" xfId="0" applyBorder="1"/>
    <xf numFmtId="0" fontId="0" fillId="0" borderId="10" xfId="0" applyBorder="1"/>
    <xf numFmtId="0" fontId="0" fillId="0" borderId="11" xfId="0" applyBorder="1"/>
    <xf numFmtId="164" fontId="0" fillId="0" borderId="25" xfId="2" applyNumberFormat="1" applyFont="1" applyBorder="1"/>
    <xf numFmtId="164" fontId="0" fillId="0" borderId="26" xfId="0" applyNumberFormat="1" applyBorder="1"/>
    <xf numFmtId="0" fontId="0" fillId="0" borderId="27" xfId="0" applyBorder="1"/>
    <xf numFmtId="0" fontId="0" fillId="0" borderId="24" xfId="0" applyBorder="1"/>
    <xf numFmtId="0" fontId="0" fillId="0" borderId="25" xfId="0" applyBorder="1"/>
    <xf numFmtId="0" fontId="0" fillId="0" borderId="26" xfId="0" applyBorder="1"/>
    <xf numFmtId="0" fontId="0" fillId="0" borderId="28" xfId="0" applyBorder="1"/>
    <xf numFmtId="0" fontId="0" fillId="0" borderId="29" xfId="0" applyBorder="1"/>
    <xf numFmtId="0" fontId="0" fillId="0" borderId="0" xfId="0" applyBorder="1" applyAlignment="1">
      <alignment vertical="center"/>
    </xf>
    <xf numFmtId="0" fontId="8" fillId="0" borderId="0" xfId="0" applyFont="1"/>
    <xf numFmtId="0" fontId="7" fillId="0" borderId="0" xfId="0" applyFont="1" applyAlignment="1">
      <alignment horizontal="left"/>
    </xf>
    <xf numFmtId="0" fontId="0" fillId="4" borderId="21" xfId="0" applyFill="1" applyBorder="1" applyAlignment="1">
      <alignment wrapText="1"/>
    </xf>
    <xf numFmtId="0" fontId="0" fillId="4" borderId="22" xfId="0" applyFill="1" applyBorder="1" applyAlignment="1">
      <alignment wrapText="1"/>
    </xf>
    <xf numFmtId="0" fontId="0" fillId="4" borderId="23" xfId="0" applyFill="1" applyBorder="1" applyAlignment="1">
      <alignment wrapText="1"/>
    </xf>
    <xf numFmtId="0" fontId="7" fillId="4" borderId="21" xfId="0" applyFont="1" applyFill="1" applyBorder="1" applyAlignment="1">
      <alignment horizontal="center"/>
    </xf>
    <xf numFmtId="0" fontId="7" fillId="4" borderId="22" xfId="0" applyFont="1" applyFill="1" applyBorder="1" applyAlignment="1">
      <alignment horizontal="center"/>
    </xf>
    <xf numFmtId="0" fontId="7" fillId="4" borderId="23" xfId="0" applyFont="1" applyFill="1" applyBorder="1" applyAlignment="1">
      <alignment horizontal="center"/>
    </xf>
    <xf numFmtId="0" fontId="0" fillId="4" borderId="21" xfId="0" applyFill="1" applyBorder="1"/>
    <xf numFmtId="0" fontId="0" fillId="4" borderId="23" xfId="0" applyFill="1" applyBorder="1"/>
    <xf numFmtId="0" fontId="8" fillId="0" borderId="0" xfId="0" applyFont="1" applyAlignment="1"/>
    <xf numFmtId="9" fontId="0" fillId="0" borderId="1" xfId="2" applyFont="1" applyBorder="1"/>
    <xf numFmtId="165" fontId="0" fillId="0" borderId="2" xfId="0" applyNumberFormat="1" applyBorder="1"/>
    <xf numFmtId="2" fontId="0" fillId="0" borderId="3" xfId="0" applyNumberFormat="1" applyBorder="1"/>
    <xf numFmtId="9" fontId="0" fillId="0" borderId="7" xfId="2" applyFont="1" applyBorder="1"/>
    <xf numFmtId="165" fontId="0" fillId="0" borderId="0" xfId="0" applyNumberFormat="1" applyBorder="1"/>
    <xf numFmtId="2" fontId="0" fillId="0" borderId="8" xfId="0" applyNumberFormat="1" applyBorder="1"/>
    <xf numFmtId="164" fontId="0" fillId="0" borderId="8" xfId="0" applyNumberFormat="1" applyBorder="1"/>
    <xf numFmtId="1" fontId="10" fillId="0" borderId="38" xfId="0" applyNumberFormat="1" applyFont="1" applyBorder="1"/>
    <xf numFmtId="164" fontId="0" fillId="0" borderId="25" xfId="0" applyNumberFormat="1" applyBorder="1"/>
    <xf numFmtId="0" fontId="12" fillId="0" borderId="0" xfId="0" applyFont="1" applyBorder="1" applyAlignment="1">
      <alignment horizontal="center" vertical="center"/>
    </xf>
    <xf numFmtId="0" fontId="12" fillId="0" borderId="0" xfId="0" applyFont="1" applyBorder="1" applyAlignment="1">
      <alignment vertical="center"/>
    </xf>
    <xf numFmtId="0" fontId="11" fillId="0" borderId="0" xfId="0" applyFont="1" applyAlignment="1">
      <alignment vertical="center"/>
    </xf>
    <xf numFmtId="0" fontId="0" fillId="4" borderId="0" xfId="0" applyFill="1"/>
    <xf numFmtId="0" fontId="8" fillId="4" borderId="0" xfId="0" applyFont="1" applyFill="1" applyAlignment="1"/>
    <xf numFmtId="0" fontId="8" fillId="4" borderId="0" xfId="0" applyFont="1" applyFill="1"/>
    <xf numFmtId="0" fontId="0" fillId="4" borderId="27" xfId="0" applyFill="1" applyBorder="1"/>
    <xf numFmtId="9" fontId="0" fillId="4" borderId="28" xfId="2" applyFont="1" applyFill="1" applyBorder="1"/>
    <xf numFmtId="164" fontId="0" fillId="4" borderId="29" xfId="0" applyNumberFormat="1" applyFill="1" applyBorder="1"/>
    <xf numFmtId="0" fontId="7" fillId="4" borderId="39" xfId="0" applyFont="1" applyFill="1" applyBorder="1"/>
    <xf numFmtId="0" fontId="7" fillId="4" borderId="29" xfId="0" applyFont="1" applyFill="1" applyBorder="1"/>
    <xf numFmtId="0" fontId="7" fillId="4" borderId="39" xfId="0" applyFont="1" applyFill="1" applyBorder="1" applyAlignment="1">
      <alignment horizontal="left"/>
    </xf>
    <xf numFmtId="0" fontId="0" fillId="0" borderId="25" xfId="0" applyBorder="1" applyAlignment="1">
      <alignment horizontal="center"/>
    </xf>
    <xf numFmtId="0" fontId="0" fillId="0" borderId="28" xfId="0" applyBorder="1" applyAlignment="1">
      <alignment horizontal="center"/>
    </xf>
    <xf numFmtId="0" fontId="7" fillId="4" borderId="40" xfId="0" applyFont="1" applyFill="1" applyBorder="1" applyAlignment="1">
      <alignment horizontal="center"/>
    </xf>
    <xf numFmtId="0" fontId="0" fillId="4" borderId="22" xfId="0" applyFill="1" applyBorder="1" applyAlignment="1">
      <alignment horizontal="center"/>
    </xf>
    <xf numFmtId="0" fontId="0" fillId="4" borderId="41" xfId="0" applyFill="1" applyBorder="1"/>
    <xf numFmtId="0" fontId="13" fillId="0" borderId="41" xfId="0" applyFont="1" applyFill="1" applyBorder="1" applyAlignment="1"/>
    <xf numFmtId="0" fontId="14" fillId="0" borderId="41" xfId="0" applyFont="1" applyFill="1" applyBorder="1" applyAlignment="1">
      <alignment vertical="center"/>
    </xf>
    <xf numFmtId="0" fontId="0" fillId="4" borderId="0" xfId="0" applyFill="1" applyBorder="1"/>
    <xf numFmtId="49" fontId="8" fillId="0" borderId="30" xfId="0" applyNumberFormat="1" applyFont="1" applyBorder="1" applyAlignment="1">
      <alignment vertical="center"/>
    </xf>
    <xf numFmtId="0" fontId="12" fillId="0" borderId="31" xfId="0" applyFont="1" applyBorder="1" applyAlignment="1">
      <alignment vertical="center"/>
    </xf>
    <xf numFmtId="0" fontId="0" fillId="0" borderId="32" xfId="0" applyBorder="1"/>
    <xf numFmtId="49" fontId="12" fillId="0" borderId="33" xfId="0" applyNumberFormat="1" applyFont="1" applyBorder="1" applyAlignment="1">
      <alignment horizontal="left" vertical="center"/>
    </xf>
    <xf numFmtId="0" fontId="0" fillId="0" borderId="34" xfId="0" applyBorder="1"/>
    <xf numFmtId="49" fontId="8" fillId="0" borderId="33" xfId="0" applyNumberFormat="1" applyFont="1" applyBorder="1" applyAlignment="1">
      <alignment vertical="center"/>
    </xf>
    <xf numFmtId="0" fontId="0" fillId="0" borderId="35" xfId="0" applyBorder="1"/>
    <xf numFmtId="0" fontId="0" fillId="0" borderId="36" xfId="0" applyBorder="1"/>
    <xf numFmtId="0" fontId="0" fillId="0" borderId="37" xfId="0" applyBorder="1"/>
    <xf numFmtId="0" fontId="15" fillId="0" borderId="0" xfId="3" applyNumberFormat="1" applyFill="1" applyAlignment="1" applyProtection="1"/>
    <xf numFmtId="0" fontId="15" fillId="0" borderId="0" xfId="3" applyNumberFormat="1" applyFill="1" applyAlignment="1" applyProtection="1"/>
    <xf numFmtId="0" fontId="16" fillId="0" borderId="12" xfId="0" applyFont="1" applyBorder="1" applyAlignment="1">
      <alignment wrapText="1"/>
    </xf>
    <xf numFmtId="49" fontId="10" fillId="0" borderId="0" xfId="0" applyNumberFormat="1" applyFont="1" applyAlignment="1">
      <alignment horizontal="right"/>
    </xf>
    <xf numFmtId="0" fontId="7" fillId="0" borderId="0" xfId="0" applyFont="1" applyAlignment="1">
      <alignment horizontal="left"/>
    </xf>
    <xf numFmtId="0" fontId="15" fillId="0" borderId="0" xfId="3" applyNumberFormat="1" applyFill="1" applyAlignment="1" applyProtection="1"/>
    <xf numFmtId="0" fontId="0" fillId="0" borderId="0" xfId="0" quotePrefix="1"/>
    <xf numFmtId="0" fontId="17" fillId="0" borderId="0" xfId="0" applyFont="1"/>
    <xf numFmtId="0" fontId="0" fillId="0" borderId="0" xfId="0" applyAlignment="1">
      <alignment vertical="center" wrapText="1"/>
    </xf>
    <xf numFmtId="49" fontId="7" fillId="0" borderId="0" xfId="0" quotePrefix="1" applyNumberFormat="1" applyFont="1" applyAlignment="1">
      <alignment horizontal="left"/>
    </xf>
    <xf numFmtId="0" fontId="15" fillId="0" borderId="0" xfId="3" applyNumberFormat="1" applyFill="1" applyAlignment="1" applyProtection="1"/>
    <xf numFmtId="14" fontId="15" fillId="0" borderId="0" xfId="3" applyNumberFormat="1" applyFill="1" applyAlignment="1" applyProtection="1"/>
    <xf numFmtId="0" fontId="7" fillId="0" borderId="0" xfId="0" applyFont="1" applyAlignment="1">
      <alignment horizontal="left"/>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9" fontId="0" fillId="0" borderId="14" xfId="2" applyFont="1" applyBorder="1" applyAlignment="1">
      <alignment horizontal="center" vertical="center"/>
    </xf>
    <xf numFmtId="9" fontId="0" fillId="0" borderId="12" xfId="2" applyFont="1" applyBorder="1" applyAlignment="1">
      <alignment horizontal="center" vertical="center"/>
    </xf>
    <xf numFmtId="9" fontId="0" fillId="0" borderId="19" xfId="2" applyFont="1" applyBorder="1" applyAlignment="1">
      <alignment horizontal="center" vertical="center"/>
    </xf>
    <xf numFmtId="164" fontId="0" fillId="3" borderId="15" xfId="2" applyNumberFormat="1" applyFont="1" applyFill="1" applyBorder="1" applyAlignment="1">
      <alignment horizontal="center" vertical="center"/>
    </xf>
    <xf numFmtId="164" fontId="0" fillId="3" borderId="17" xfId="2" applyNumberFormat="1" applyFont="1" applyFill="1" applyBorder="1" applyAlignment="1">
      <alignment horizontal="center" vertical="center"/>
    </xf>
    <xf numFmtId="164" fontId="0" fillId="3" borderId="20" xfId="2" applyNumberFormat="1" applyFont="1" applyFill="1" applyBorder="1" applyAlignment="1">
      <alignment horizontal="center" vertical="center"/>
    </xf>
    <xf numFmtId="0" fontId="0" fillId="0" borderId="13" xfId="0" applyBorder="1" applyAlignment="1">
      <alignment horizontal="right" vertical="center"/>
    </xf>
    <xf numFmtId="0" fontId="0" fillId="0" borderId="16" xfId="0" applyBorder="1" applyAlignment="1">
      <alignment horizontal="right" vertical="center"/>
    </xf>
    <xf numFmtId="0" fontId="0" fillId="0" borderId="18" xfId="0" applyBorder="1" applyAlignment="1">
      <alignment horizontal="right" vertical="center"/>
    </xf>
    <xf numFmtId="9" fontId="0" fillId="0" borderId="14" xfId="2" applyFont="1" applyBorder="1" applyAlignment="1">
      <alignment horizontal="center"/>
    </xf>
    <xf numFmtId="9" fontId="0" fillId="0" borderId="12" xfId="2" applyFont="1" applyBorder="1" applyAlignment="1">
      <alignment horizontal="center"/>
    </xf>
    <xf numFmtId="9" fontId="0" fillId="0" borderId="19" xfId="2" applyFont="1" applyBorder="1" applyAlignment="1">
      <alignment horizontal="center"/>
    </xf>
    <xf numFmtId="0" fontId="0" fillId="0" borderId="14" xfId="0" applyBorder="1" applyAlignment="1">
      <alignment horizontal="right" vertical="center" wrapText="1"/>
    </xf>
    <xf numFmtId="0" fontId="0" fillId="0" borderId="12" xfId="0" applyBorder="1" applyAlignment="1">
      <alignment horizontal="right" vertical="center" wrapText="1"/>
    </xf>
    <xf numFmtId="0" fontId="0" fillId="0" borderId="19" xfId="0" applyBorder="1" applyAlignment="1">
      <alignment horizontal="right" vertical="center" wrapText="1"/>
    </xf>
    <xf numFmtId="9" fontId="0" fillId="3" borderId="12" xfId="2" applyFont="1" applyFill="1" applyBorder="1" applyAlignment="1">
      <alignment horizontal="center" vertical="center"/>
    </xf>
    <xf numFmtId="9" fontId="0" fillId="3" borderId="19" xfId="2" applyFont="1" applyFill="1" applyBorder="1" applyAlignment="1">
      <alignment horizontal="center" vertical="center"/>
    </xf>
    <xf numFmtId="9" fontId="0" fillId="3" borderId="14" xfId="2" applyFont="1" applyFill="1" applyBorder="1" applyAlignment="1">
      <alignment horizontal="center" vertical="center"/>
    </xf>
    <xf numFmtId="1" fontId="0" fillId="0" borderId="14" xfId="1" applyNumberFormat="1" applyFont="1" applyBorder="1" applyAlignment="1">
      <alignment horizontal="center" vertical="center"/>
    </xf>
    <xf numFmtId="1" fontId="0" fillId="0" borderId="12" xfId="1" applyNumberFormat="1" applyFont="1" applyBorder="1" applyAlignment="1">
      <alignment horizontal="center" vertical="center"/>
    </xf>
    <xf numFmtId="1" fontId="0" fillId="0" borderId="19" xfId="1" applyNumberFormat="1" applyFont="1" applyBorder="1" applyAlignment="1">
      <alignment horizontal="center" vertical="center"/>
    </xf>
    <xf numFmtId="9" fontId="2" fillId="0" borderId="12" xfId="2" applyFont="1" applyBorder="1" applyAlignment="1">
      <alignment horizontal="center"/>
    </xf>
    <xf numFmtId="9" fontId="2" fillId="0" borderId="19" xfId="2" applyFont="1" applyBorder="1" applyAlignment="1">
      <alignment horizontal="center"/>
    </xf>
    <xf numFmtId="0" fontId="2" fillId="0" borderId="14" xfId="0" applyFont="1" applyBorder="1" applyAlignment="1">
      <alignment horizontal="right" vertical="center" wrapText="1"/>
    </xf>
    <xf numFmtId="0" fontId="2" fillId="0" borderId="12" xfId="0" applyFont="1" applyBorder="1" applyAlignment="1">
      <alignment horizontal="right" vertical="center" wrapText="1"/>
    </xf>
    <xf numFmtId="9" fontId="2" fillId="0" borderId="14" xfId="2" applyFont="1" applyBorder="1" applyAlignment="1">
      <alignment horizontal="center"/>
    </xf>
    <xf numFmtId="0" fontId="2" fillId="0" borderId="12" xfId="0" applyFont="1" applyBorder="1" applyAlignment="1">
      <alignment horizontal="right" vertical="center" wrapText="1" readingOrder="2"/>
    </xf>
    <xf numFmtId="0" fontId="3" fillId="0" borderId="12" xfId="0" applyFont="1" applyBorder="1" applyAlignment="1">
      <alignment horizontal="right" vertical="center" wrapText="1" readingOrder="2"/>
    </xf>
    <xf numFmtId="9" fontId="2" fillId="0" borderId="12" xfId="2" applyFont="1" applyBorder="1" applyAlignment="1">
      <alignment horizontal="center" vertical="center" readingOrder="2"/>
    </xf>
    <xf numFmtId="9" fontId="3" fillId="0" borderId="12" xfId="2" applyFont="1" applyBorder="1" applyAlignment="1">
      <alignment horizontal="center" vertical="center" readingOrder="2"/>
    </xf>
    <xf numFmtId="0" fontId="2" fillId="0" borderId="19" xfId="0" applyFont="1" applyBorder="1" applyAlignment="1">
      <alignment horizontal="right" vertical="center" wrapText="1"/>
    </xf>
    <xf numFmtId="0" fontId="18" fillId="0" borderId="42" xfId="0" applyFont="1" applyBorder="1"/>
    <xf numFmtId="0" fontId="18" fillId="0" borderId="43" xfId="0" applyFont="1" applyBorder="1"/>
    <xf numFmtId="14" fontId="18" fillId="0" borderId="43" xfId="0" applyNumberFormat="1" applyFont="1" applyBorder="1" applyAlignment="1"/>
    <xf numFmtId="0" fontId="18" fillId="0" borderId="44" xfId="0" applyFont="1" applyBorder="1"/>
    <xf numFmtId="0" fontId="18" fillId="0" borderId="45" xfId="0" applyFont="1" applyBorder="1"/>
    <xf numFmtId="14" fontId="18" fillId="0" borderId="45" xfId="0" applyNumberFormat="1" applyFont="1" applyBorder="1" applyAlignment="1"/>
    <xf numFmtId="0" fontId="0" fillId="0" borderId="30" xfId="0" applyBorder="1" applyAlignment="1">
      <alignment horizontal="right" vertical="top" wrapText="1"/>
    </xf>
    <xf numFmtId="0" fontId="0" fillId="0" borderId="31" xfId="0" applyBorder="1" applyAlignment="1">
      <alignment horizontal="right" vertical="top" wrapText="1"/>
    </xf>
    <xf numFmtId="0" fontId="0" fillId="0" borderId="32" xfId="0" applyBorder="1" applyAlignment="1">
      <alignment horizontal="right" vertical="top" wrapText="1"/>
    </xf>
    <xf numFmtId="0" fontId="0" fillId="0" borderId="33" xfId="0" applyBorder="1" applyAlignment="1">
      <alignment horizontal="right" vertical="top" wrapText="1"/>
    </xf>
    <xf numFmtId="0" fontId="0" fillId="0" borderId="0" xfId="0" applyBorder="1" applyAlignment="1">
      <alignment horizontal="right" vertical="top" wrapText="1"/>
    </xf>
    <xf numFmtId="0" fontId="0" fillId="0" borderId="34" xfId="0" applyBorder="1" applyAlignment="1">
      <alignment horizontal="right" vertical="top" wrapText="1"/>
    </xf>
    <xf numFmtId="0" fontId="0" fillId="0" borderId="35" xfId="0" applyBorder="1" applyAlignment="1">
      <alignment horizontal="right" vertical="top" wrapText="1"/>
    </xf>
    <xf numFmtId="0" fontId="0" fillId="0" borderId="36" xfId="0" applyBorder="1" applyAlignment="1">
      <alignment horizontal="right" vertical="top" wrapText="1"/>
    </xf>
    <xf numFmtId="0" fontId="0" fillId="0" borderId="37" xfId="0" applyBorder="1" applyAlignment="1">
      <alignment horizontal="right" vertical="top" wrapText="1"/>
    </xf>
  </cellXfs>
  <cellStyles count="4">
    <cellStyle name="Comma" xfId="1" builtinId="3"/>
    <cellStyle name="Normal" xfId="0" builtinId="0"/>
    <cellStyle name="Normal 2" xfId="3"/>
    <cellStyle name="Percent" xfId="2" builtinId="5"/>
  </cellStyles>
  <dxfs count="6">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2D3647"/>
      <color rgb="FF5B5E7F"/>
      <color rgb="FF3C506F"/>
      <color rgb="FF3C505A"/>
      <color rgb="FF3B4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17600335310754"/>
          <c:y val="0.10330909399653163"/>
          <c:w val="0.79130587113434803"/>
          <c:h val="0.56882434556078487"/>
        </c:manualLayout>
      </c:layout>
      <c:barChart>
        <c:barDir val="col"/>
        <c:grouping val="clustered"/>
        <c:varyColors val="0"/>
        <c:ser>
          <c:idx val="0"/>
          <c:order val="0"/>
          <c:tx>
            <c:strRef>
              <c:f>דוח!$C$14</c:f>
              <c:strCache>
                <c:ptCount val="1"/>
                <c:pt idx="0">
                  <c:v>משקל בסיור</c:v>
                </c:pt>
              </c:strCache>
            </c:strRef>
          </c:tx>
          <c:spPr>
            <a:solidFill>
              <a:schemeClr val="accent6">
                <a:lumMod val="75000"/>
              </a:schemeClr>
            </a:solidFill>
            <a:ln cmpd="sng">
              <a:solidFill>
                <a:schemeClr val="accent6">
                  <a:lumMod val="75000"/>
                  <a:alpha val="95000"/>
                </a:schemeClr>
              </a:solidFill>
            </a:ln>
            <a:effectLst>
              <a:glow rad="38100">
                <a:schemeClr val="accent6">
                  <a:satMod val="175000"/>
                  <a:alpha val="40000"/>
                </a:schemeClr>
              </a:glow>
              <a:outerShdw blurRad="127000" dist="38100" dir="18900000" algn="bl" rotWithShape="0">
                <a:schemeClr val="tx1">
                  <a:alpha val="40000"/>
                </a:schemeClr>
              </a:outerShdw>
            </a:effectLst>
            <a:scene3d>
              <a:camera prst="orthographicFront"/>
              <a:lightRig rig="threePt" dir="t"/>
            </a:scene3d>
            <a:sp3d prstMaterial="matte"/>
          </c:spPr>
          <c:invertIfNegative val="0"/>
          <c:cat>
            <c:strRef>
              <c:f>דוח!$B$15:$B$21</c:f>
              <c:strCache>
                <c:ptCount val="7"/>
                <c:pt idx="0">
                  <c:v>סכנת נפילת אדם</c:v>
                </c:pt>
                <c:pt idx="1">
                  <c:v>סכנת התמוטטות</c:v>
                </c:pt>
                <c:pt idx="2">
                  <c:v>נפילת חפצים ופסולת מגובה</c:v>
                </c:pt>
                <c:pt idx="3">
                  <c:v>סיכוני שינוע</c:v>
                </c:pt>
                <c:pt idx="4">
                  <c:v>שימוש בציוד מגן</c:v>
                </c:pt>
                <c:pt idx="5">
                  <c:v>רמת ארגון אתר</c:v>
                </c:pt>
                <c:pt idx="6">
                  <c:v>סיכוני עבודה חמה</c:v>
                </c:pt>
              </c:strCache>
            </c:strRef>
          </c:cat>
          <c:val>
            <c:numRef>
              <c:f>דוח!$C$15:$C$21</c:f>
              <c:numCache>
                <c:formatCode>0.0%</c:formatCode>
                <c:ptCount val="7"/>
                <c:pt idx="0">
                  <c:v>0.33666666666666667</c:v>
                </c:pt>
                <c:pt idx="1">
                  <c:v>0.36666666666666664</c:v>
                </c:pt>
                <c:pt idx="2">
                  <c:v>8.666666666666667E-2</c:v>
                </c:pt>
                <c:pt idx="3">
                  <c:v>7.6666666666666675E-2</c:v>
                </c:pt>
                <c:pt idx="4">
                  <c:v>5.6666666666666671E-2</c:v>
                </c:pt>
                <c:pt idx="5">
                  <c:v>7.6666666666666675E-2</c:v>
                </c:pt>
                <c:pt idx="6">
                  <c:v>0</c:v>
                </c:pt>
              </c:numCache>
            </c:numRef>
          </c:val>
          <c:extLst xmlns:c16r2="http://schemas.microsoft.com/office/drawing/2015/06/chart">
            <c:ext xmlns:c16="http://schemas.microsoft.com/office/drawing/2014/chart" uri="{C3380CC4-5D6E-409C-BE32-E72D297353CC}">
              <c16:uniqueId val="{00000000-187B-415D-B67C-60672F7BA380}"/>
            </c:ext>
          </c:extLst>
        </c:ser>
        <c:ser>
          <c:idx val="1"/>
          <c:order val="1"/>
          <c:tx>
            <c:strRef>
              <c:f>דוח!$D$14</c:f>
              <c:strCache>
                <c:ptCount val="1"/>
                <c:pt idx="0">
                  <c:v>ציון</c:v>
                </c:pt>
              </c:strCache>
            </c:strRef>
          </c:tx>
          <c:spPr>
            <a:solidFill>
              <a:schemeClr val="accent5">
                <a:lumMod val="40000"/>
                <a:lumOff val="60000"/>
              </a:schemeClr>
            </a:solidFill>
            <a:ln>
              <a:noFill/>
            </a:ln>
            <a:effectLst>
              <a:glow rad="38100">
                <a:schemeClr val="accent5">
                  <a:lumMod val="40000"/>
                  <a:lumOff val="60000"/>
                  <a:alpha val="40000"/>
                </a:schemeClr>
              </a:glow>
              <a:outerShdw blurRad="127000" dist="38100" dir="13500000" algn="bl" rotWithShape="0">
                <a:prstClr val="black">
                  <a:alpha val="40000"/>
                </a:prstClr>
              </a:outerShdw>
            </a:effectLst>
            <a:scene3d>
              <a:camera prst="orthographicFront"/>
              <a:lightRig rig="threePt" dir="t"/>
            </a:scene3d>
            <a:sp3d prstMaterial="softEdge"/>
          </c:spPr>
          <c:invertIfNegative val="0"/>
          <c:cat>
            <c:strRef>
              <c:f>דוח!$B$15:$B$21</c:f>
              <c:strCache>
                <c:ptCount val="7"/>
                <c:pt idx="0">
                  <c:v>סכנת נפילת אדם</c:v>
                </c:pt>
                <c:pt idx="1">
                  <c:v>סכנת התמוטטות</c:v>
                </c:pt>
                <c:pt idx="2">
                  <c:v>נפילת חפצים ופסולת מגובה</c:v>
                </c:pt>
                <c:pt idx="3">
                  <c:v>סיכוני שינוע</c:v>
                </c:pt>
                <c:pt idx="4">
                  <c:v>שימוש בציוד מגן</c:v>
                </c:pt>
                <c:pt idx="5">
                  <c:v>רמת ארגון אתר</c:v>
                </c:pt>
                <c:pt idx="6">
                  <c:v>סיכוני עבודה חמה</c:v>
                </c:pt>
              </c:strCache>
            </c:strRef>
          </c:cat>
          <c:val>
            <c:numRef>
              <c:f>דוח!$D$15:$D$21</c:f>
              <c:numCache>
                <c:formatCode>0.0%</c:formatCode>
                <c:ptCount val="7"/>
                <c:pt idx="0">
                  <c:v>8.6717171717171734E-2</c:v>
                </c:pt>
                <c:pt idx="1">
                  <c:v>0.28136574074074072</c:v>
                </c:pt>
                <c:pt idx="2">
                  <c:v>3.2500000000000001E-2</c:v>
                </c:pt>
                <c:pt idx="3">
                  <c:v>6.0238095238095243E-2</c:v>
                </c:pt>
                <c:pt idx="4">
                  <c:v>5.6666666666666664E-2</c:v>
                </c:pt>
                <c:pt idx="5">
                  <c:v>4.685185185185186E-2</c:v>
                </c:pt>
                <c:pt idx="6">
                  <c:v>0</c:v>
                </c:pt>
              </c:numCache>
            </c:numRef>
          </c:val>
          <c:extLst xmlns:c16r2="http://schemas.microsoft.com/office/drawing/2015/06/chart">
            <c:ext xmlns:c16="http://schemas.microsoft.com/office/drawing/2014/chart" uri="{C3380CC4-5D6E-409C-BE32-E72D297353CC}">
              <c16:uniqueId val="{00000001-187B-415D-B67C-60672F7BA380}"/>
            </c:ext>
          </c:extLst>
        </c:ser>
        <c:dLbls>
          <c:showLegendKey val="0"/>
          <c:showVal val="0"/>
          <c:showCatName val="0"/>
          <c:showSerName val="0"/>
          <c:showPercent val="0"/>
          <c:showBubbleSize val="0"/>
        </c:dLbls>
        <c:gapWidth val="135"/>
        <c:overlap val="-47"/>
        <c:axId val="162643840"/>
        <c:axId val="162641880"/>
      </c:barChart>
      <c:catAx>
        <c:axId val="16264384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162641880"/>
        <c:crosses val="autoZero"/>
        <c:auto val="1"/>
        <c:lblAlgn val="ctr"/>
        <c:lblOffset val="100"/>
        <c:noMultiLvlLbl val="0"/>
      </c:catAx>
      <c:valAx>
        <c:axId val="162641880"/>
        <c:scaling>
          <c:orientation val="minMax"/>
        </c:scaling>
        <c:delete val="0"/>
        <c:axPos val="r"/>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162643840"/>
        <c:crosses val="autoZero"/>
        <c:crossBetween val="between"/>
      </c:valAx>
      <c:spPr>
        <a:noFill/>
        <a:ln>
          <a:noFill/>
        </a:ln>
        <a:effectLst/>
      </c:spPr>
    </c:plotArea>
    <c:legend>
      <c:legendPos val="l"/>
      <c:layout>
        <c:manualLayout>
          <c:xMode val="edge"/>
          <c:yMode val="edge"/>
          <c:x val="1.5414261306927073E-2"/>
          <c:y val="0.28773107910721013"/>
          <c:w val="0.10850749897743975"/>
          <c:h val="0.33414187612771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legend>
    <c:plotVisOnly val="1"/>
    <c:dispBlanksAs val="gap"/>
    <c:showDLblsOverMax val="0"/>
  </c:chart>
  <c:spPr>
    <a:solidFill>
      <a:schemeClr val="bg1"/>
    </a:solidFill>
    <a:ln w="19050" cap="flat" cmpd="sng" algn="ctr">
      <a:solidFill>
        <a:schemeClr val="bg1">
          <a:lumMod val="65000"/>
        </a:schemeClr>
      </a:solidFill>
      <a:round/>
    </a:ln>
    <a:effectLst/>
  </c:spPr>
  <c:txPr>
    <a:bodyPr/>
    <a:lstStyle/>
    <a:p>
      <a:pPr>
        <a:defRPr/>
      </a:pPr>
      <a:endParaRPr lang="he-I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216836</xdr:colOff>
      <xdr:row>13</xdr:row>
      <xdr:rowOff>2242</xdr:rowOff>
    </xdr:from>
    <xdr:to>
      <xdr:col>11</xdr:col>
      <xdr:colOff>79003</xdr:colOff>
      <xdr:row>27</xdr:row>
      <xdr:rowOff>190501</xdr:rowOff>
    </xdr:to>
    <xdr:graphicFrame macro="">
      <xdr:nvGraphicFramePr>
        <xdr:cNvPr id="3" name="תרשים 2">
          <a:extLst>
            <a:ext uri="{FF2B5EF4-FFF2-40B4-BE49-F238E27FC236}">
              <a16:creationId xmlns="" xmlns:a16="http://schemas.microsoft.com/office/drawing/2014/main" id="{FB27E510-65B7-4DD0-BCC4-AC8A6611CD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647700</xdr:colOff>
      <xdr:row>63</xdr:row>
      <xdr:rowOff>85725</xdr:rowOff>
    </xdr:from>
    <xdr:to>
      <xdr:col>5</xdr:col>
      <xdr:colOff>809625</xdr:colOff>
      <xdr:row>63</xdr:row>
      <xdr:rowOff>247650</xdr:rowOff>
    </xdr:to>
    <xdr:sp macro="" textlink="">
      <xdr:nvSpPr>
        <xdr:cNvPr id="4" name="מלבן 3">
          <a:extLst>
            <a:ext uri="{FF2B5EF4-FFF2-40B4-BE49-F238E27FC236}">
              <a16:creationId xmlns="" xmlns:a16="http://schemas.microsoft.com/office/drawing/2014/main" id="{AC84D091-4889-4249-B08B-34F5A9C92327}"/>
            </a:ext>
          </a:extLst>
        </xdr:cNvPr>
        <xdr:cNvSpPr/>
      </xdr:nvSpPr>
      <xdr:spPr>
        <a:xfrm>
          <a:off x="9985543275" y="11801475"/>
          <a:ext cx="161925" cy="16192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rtl="1"/>
          <a:endParaRPr lang="en-US" sz="1100"/>
        </a:p>
      </xdr:txBody>
    </xdr:sp>
    <xdr:clientData/>
  </xdr:twoCellAnchor>
  <xdr:twoCellAnchor>
    <xdr:from>
      <xdr:col>5</xdr:col>
      <xdr:colOff>647700</xdr:colOff>
      <xdr:row>64</xdr:row>
      <xdr:rowOff>76200</xdr:rowOff>
    </xdr:from>
    <xdr:to>
      <xdr:col>5</xdr:col>
      <xdr:colOff>809625</xdr:colOff>
      <xdr:row>64</xdr:row>
      <xdr:rowOff>238125</xdr:rowOff>
    </xdr:to>
    <xdr:sp macro="" textlink="">
      <xdr:nvSpPr>
        <xdr:cNvPr id="5" name="מלבן 4">
          <a:extLst>
            <a:ext uri="{FF2B5EF4-FFF2-40B4-BE49-F238E27FC236}">
              <a16:creationId xmlns="" xmlns:a16="http://schemas.microsoft.com/office/drawing/2014/main" id="{D3DC29A5-C6F8-4D3C-976B-6673302BF9DE}"/>
            </a:ext>
          </a:extLst>
        </xdr:cNvPr>
        <xdr:cNvSpPr/>
      </xdr:nvSpPr>
      <xdr:spPr>
        <a:xfrm>
          <a:off x="9985543275" y="12068175"/>
          <a:ext cx="161925" cy="16192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rtl="1"/>
          <a:endParaRPr lang="en-US" sz="1100"/>
        </a:p>
      </xdr:txBody>
    </xdr:sp>
    <xdr:clientData/>
  </xdr:twoCellAnchor>
  <xdr:twoCellAnchor>
    <xdr:from>
      <xdr:col>5</xdr:col>
      <xdr:colOff>647700</xdr:colOff>
      <xdr:row>65</xdr:row>
      <xdr:rowOff>66675</xdr:rowOff>
    </xdr:from>
    <xdr:to>
      <xdr:col>5</xdr:col>
      <xdr:colOff>809625</xdr:colOff>
      <xdr:row>65</xdr:row>
      <xdr:rowOff>228600</xdr:rowOff>
    </xdr:to>
    <xdr:sp macro="" textlink="">
      <xdr:nvSpPr>
        <xdr:cNvPr id="6" name="מלבן 5">
          <a:extLst>
            <a:ext uri="{FF2B5EF4-FFF2-40B4-BE49-F238E27FC236}">
              <a16:creationId xmlns="" xmlns:a16="http://schemas.microsoft.com/office/drawing/2014/main" id="{A473DC35-C829-4EC9-99E3-286E61C45CB0}"/>
            </a:ext>
          </a:extLst>
        </xdr:cNvPr>
        <xdr:cNvSpPr/>
      </xdr:nvSpPr>
      <xdr:spPr>
        <a:xfrm>
          <a:off x="9985543275" y="12334875"/>
          <a:ext cx="161925" cy="16192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rtl="1"/>
          <a:endParaRPr lang="en-US" sz="1100"/>
        </a:p>
      </xdr:txBody>
    </xdr:sp>
    <xdr:clientData/>
  </xdr:twoCellAnchor>
  <xdr:twoCellAnchor>
    <xdr:from>
      <xdr:col>0</xdr:col>
      <xdr:colOff>28575</xdr:colOff>
      <xdr:row>65</xdr:row>
      <xdr:rowOff>66675</xdr:rowOff>
    </xdr:from>
    <xdr:to>
      <xdr:col>0</xdr:col>
      <xdr:colOff>190500</xdr:colOff>
      <xdr:row>65</xdr:row>
      <xdr:rowOff>228600</xdr:rowOff>
    </xdr:to>
    <xdr:sp macro="" textlink="">
      <xdr:nvSpPr>
        <xdr:cNvPr id="7" name="מלבן 6">
          <a:extLst>
            <a:ext uri="{FF2B5EF4-FFF2-40B4-BE49-F238E27FC236}">
              <a16:creationId xmlns="" xmlns:a16="http://schemas.microsoft.com/office/drawing/2014/main" id="{64BF277E-67E6-4757-8C8C-820C6DA6F724}"/>
            </a:ext>
          </a:extLst>
        </xdr:cNvPr>
        <xdr:cNvSpPr/>
      </xdr:nvSpPr>
      <xdr:spPr>
        <a:xfrm>
          <a:off x="9990077175" y="12334875"/>
          <a:ext cx="161925" cy="16192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rtl="1"/>
          <a:endParaRPr lang="en-US" sz="1100"/>
        </a:p>
      </xdr:txBody>
    </xdr:sp>
    <xdr:clientData/>
  </xdr:twoCellAnchor>
  <xdr:twoCellAnchor>
    <xdr:from>
      <xdr:col>0</xdr:col>
      <xdr:colOff>28575</xdr:colOff>
      <xdr:row>64</xdr:row>
      <xdr:rowOff>66675</xdr:rowOff>
    </xdr:from>
    <xdr:to>
      <xdr:col>0</xdr:col>
      <xdr:colOff>190500</xdr:colOff>
      <xdr:row>64</xdr:row>
      <xdr:rowOff>228600</xdr:rowOff>
    </xdr:to>
    <xdr:sp macro="" textlink="">
      <xdr:nvSpPr>
        <xdr:cNvPr id="8" name="מלבן 7">
          <a:extLst>
            <a:ext uri="{FF2B5EF4-FFF2-40B4-BE49-F238E27FC236}">
              <a16:creationId xmlns="" xmlns:a16="http://schemas.microsoft.com/office/drawing/2014/main" id="{B8508F5C-2C80-4CB0-89B4-EA19F208D0A8}"/>
            </a:ext>
          </a:extLst>
        </xdr:cNvPr>
        <xdr:cNvSpPr/>
      </xdr:nvSpPr>
      <xdr:spPr>
        <a:xfrm>
          <a:off x="9990077175" y="12058650"/>
          <a:ext cx="161925" cy="16192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rtl="1"/>
          <a:endParaRPr lang="en-US" sz="1100"/>
        </a:p>
      </xdr:txBody>
    </xdr:sp>
    <xdr:clientData/>
  </xdr:twoCellAnchor>
  <xdr:twoCellAnchor>
    <xdr:from>
      <xdr:col>0</xdr:col>
      <xdr:colOff>28575</xdr:colOff>
      <xdr:row>63</xdr:row>
      <xdr:rowOff>66675</xdr:rowOff>
    </xdr:from>
    <xdr:to>
      <xdr:col>0</xdr:col>
      <xdr:colOff>190500</xdr:colOff>
      <xdr:row>63</xdr:row>
      <xdr:rowOff>228600</xdr:rowOff>
    </xdr:to>
    <xdr:sp macro="" textlink="">
      <xdr:nvSpPr>
        <xdr:cNvPr id="9" name="מלבן 8">
          <a:extLst>
            <a:ext uri="{FF2B5EF4-FFF2-40B4-BE49-F238E27FC236}">
              <a16:creationId xmlns="" xmlns:a16="http://schemas.microsoft.com/office/drawing/2014/main" id="{25421B56-05DC-4880-88F0-186C56B68345}"/>
            </a:ext>
          </a:extLst>
        </xdr:cNvPr>
        <xdr:cNvSpPr/>
      </xdr:nvSpPr>
      <xdr:spPr>
        <a:xfrm>
          <a:off x="9990077175" y="11782425"/>
          <a:ext cx="161925" cy="16192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rtl="1"/>
          <a:endParaRPr lang="en-US" sz="1100"/>
        </a:p>
      </xdr:txBody>
    </xdr:sp>
    <xdr:clientData/>
  </xdr:twoCellAnchor>
  <xdr:twoCellAnchor editAs="oneCell">
    <xdr:from>
      <xdr:col>7</xdr:col>
      <xdr:colOff>657224</xdr:colOff>
      <xdr:row>0</xdr:row>
      <xdr:rowOff>40340</xdr:rowOff>
    </xdr:from>
    <xdr:to>
      <xdr:col>10</xdr:col>
      <xdr:colOff>687945</xdr:colOff>
      <xdr:row>3</xdr:row>
      <xdr:rowOff>152541</xdr:rowOff>
    </xdr:to>
    <xdr:pic>
      <xdr:nvPicPr>
        <xdr:cNvPr id="11" name="תמונה 10">
          <a:extLst>
            <a:ext uri="{FF2B5EF4-FFF2-40B4-BE49-F238E27FC236}">
              <a16:creationId xmlns="" xmlns:a16="http://schemas.microsoft.com/office/drawing/2014/main" id="{B55D23E5-4B78-457A-9BA2-A0B29E4A99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618510" y="40340"/>
          <a:ext cx="2400766" cy="731326"/>
        </a:xfrm>
        <a:prstGeom prst="rect">
          <a:avLst/>
        </a:prstGeom>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rightToLeft="1" tabSelected="1" zoomScale="85" zoomScaleNormal="85" workbookViewId="0">
      <selection activeCell="J51" sqref="J51"/>
    </sheetView>
  </sheetViews>
  <sheetFormatPr defaultRowHeight="14.25" x14ac:dyDescent="0.2"/>
  <cols>
    <col min="1" max="1" width="3.625" customWidth="1"/>
    <col min="2" max="2" width="22.625" bestFit="1" customWidth="1"/>
    <col min="3" max="3" width="11.25" customWidth="1"/>
    <col min="4" max="4" width="11.375" customWidth="1"/>
    <col min="5" max="5" width="10.625" bestFit="1" customWidth="1"/>
    <col min="6" max="6" width="13" customWidth="1"/>
    <col min="7" max="7" width="12.125" bestFit="1" customWidth="1"/>
    <col min="8" max="8" width="13.375" customWidth="1"/>
    <col min="9" max="9" width="12.875" customWidth="1"/>
    <col min="10" max="10" width="10.375" customWidth="1"/>
    <col min="11" max="11" width="11" bestFit="1" customWidth="1" collapsed="1"/>
    <col min="12" max="12" width="2.25" customWidth="1"/>
    <col min="13" max="14" width="10" customWidth="1"/>
    <col min="15" max="15" width="10" customWidth="1" collapsed="1"/>
    <col min="16" max="17" width="10" customWidth="1"/>
    <col min="18" max="18" width="9.125" customWidth="1" collapsed="1"/>
    <col min="20" max="20" width="22.625" bestFit="1" customWidth="1"/>
    <col min="21" max="21" width="6.25" customWidth="1"/>
    <col min="22" max="22" width="10" customWidth="1"/>
    <col min="24" max="24" width="11.125" bestFit="1" customWidth="1"/>
  </cols>
  <sheetData>
    <row r="1" spans="1:25" x14ac:dyDescent="0.2">
      <c r="A1" s="98"/>
      <c r="B1" s="98"/>
      <c r="C1" s="98"/>
      <c r="D1" s="98"/>
      <c r="E1" s="98"/>
      <c r="F1" s="98"/>
      <c r="G1" s="98"/>
      <c r="H1" s="98"/>
      <c r="I1" s="98"/>
      <c r="J1" s="98"/>
      <c r="K1" s="98"/>
      <c r="L1" s="98"/>
    </row>
    <row r="2" spans="1:25" ht="18" x14ac:dyDescent="0.25">
      <c r="A2" s="100" t="s">
        <v>156</v>
      </c>
      <c r="B2" s="99"/>
      <c r="C2" s="99"/>
      <c r="D2" s="100"/>
      <c r="E2" s="98"/>
      <c r="F2" s="98"/>
      <c r="G2" s="98"/>
      <c r="H2" s="98"/>
      <c r="I2" s="98"/>
      <c r="J2" s="98"/>
      <c r="K2" s="98"/>
      <c r="L2" s="98"/>
      <c r="X2" s="61"/>
    </row>
    <row r="3" spans="1:25" x14ac:dyDescent="0.2">
      <c r="A3" s="98"/>
      <c r="B3" s="98"/>
      <c r="C3" s="98"/>
      <c r="D3" s="98"/>
      <c r="E3" s="98"/>
      <c r="F3" s="98"/>
      <c r="G3" s="98"/>
      <c r="H3" s="98"/>
      <c r="I3" s="98"/>
      <c r="J3" s="98"/>
      <c r="K3" s="98"/>
      <c r="L3" s="98"/>
      <c r="R3" s="52"/>
      <c r="X3" s="61"/>
    </row>
    <row r="4" spans="1:25" x14ac:dyDescent="0.2">
      <c r="A4" s="114"/>
      <c r="B4" s="114"/>
      <c r="C4" s="114"/>
      <c r="D4" s="114"/>
      <c r="E4" s="114"/>
      <c r="F4" s="114"/>
      <c r="G4" s="114"/>
      <c r="H4" s="114"/>
      <c r="I4" s="114"/>
      <c r="J4" s="114"/>
      <c r="K4" s="114"/>
      <c r="L4" s="114"/>
      <c r="R4" s="52"/>
      <c r="X4" s="61"/>
    </row>
    <row r="5" spans="1:25" ht="18" x14ac:dyDescent="0.25">
      <c r="A5" s="112" t="s">
        <v>105</v>
      </c>
      <c r="B5" s="113"/>
      <c r="C5" s="113"/>
      <c r="D5" s="113"/>
      <c r="E5" s="113"/>
      <c r="F5" s="113"/>
      <c r="G5" s="113"/>
      <c r="H5" s="113"/>
      <c r="I5" s="113"/>
      <c r="J5" s="113"/>
      <c r="K5" s="113"/>
      <c r="L5" s="113"/>
      <c r="R5" s="52"/>
      <c r="X5" s="61"/>
    </row>
    <row r="6" spans="1:25" ht="15" x14ac:dyDescent="0.25">
      <c r="B6" s="128" t="s">
        <v>67</v>
      </c>
      <c r="C6" t="s">
        <v>148</v>
      </c>
      <c r="D6" s="128" t="s">
        <v>95</v>
      </c>
      <c r="E6">
        <v>302580295</v>
      </c>
      <c r="G6" s="128" t="s">
        <v>64</v>
      </c>
      <c r="H6" s="51">
        <v>43320</v>
      </c>
      <c r="I6" s="128" t="s">
        <v>65</v>
      </c>
      <c r="J6" s="52">
        <v>0.52083333333333337</v>
      </c>
      <c r="R6" s="52"/>
      <c r="X6" s="61"/>
    </row>
    <row r="7" spans="1:25" ht="15.75" customHeight="1" x14ac:dyDescent="0.25">
      <c r="B7" s="128" t="s">
        <v>66</v>
      </c>
      <c r="C7" t="s">
        <v>147</v>
      </c>
      <c r="D7" s="128" t="s">
        <v>95</v>
      </c>
      <c r="E7" s="130" t="s">
        <v>149</v>
      </c>
      <c r="F7" s="136" t="s">
        <v>71</v>
      </c>
      <c r="G7" s="136"/>
      <c r="H7" s="131" t="s">
        <v>161</v>
      </c>
      <c r="I7" s="128" t="s">
        <v>155</v>
      </c>
      <c r="J7" s="132">
        <v>234584</v>
      </c>
      <c r="R7" s="52"/>
      <c r="X7" s="61"/>
    </row>
    <row r="8" spans="1:25" ht="28.5" x14ac:dyDescent="0.25">
      <c r="B8" s="128" t="s">
        <v>150</v>
      </c>
      <c r="C8" s="53" t="s">
        <v>157</v>
      </c>
      <c r="D8" s="128" t="s">
        <v>70</v>
      </c>
      <c r="E8" s="132">
        <v>8000</v>
      </c>
      <c r="G8" s="128" t="s">
        <v>73</v>
      </c>
      <c r="H8" s="132" t="s">
        <v>158</v>
      </c>
      <c r="I8" s="128" t="s">
        <v>75</v>
      </c>
      <c r="J8" s="127" t="s">
        <v>160</v>
      </c>
      <c r="X8" s="61"/>
    </row>
    <row r="9" spans="1:25" ht="28.5" x14ac:dyDescent="0.25">
      <c r="B9" s="128" t="s">
        <v>68</v>
      </c>
      <c r="C9" s="53" t="s">
        <v>163</v>
      </c>
      <c r="D9" s="128" t="s">
        <v>69</v>
      </c>
      <c r="E9" s="133" t="s">
        <v>162</v>
      </c>
      <c r="G9" s="128" t="s">
        <v>74</v>
      </c>
      <c r="H9" s="132" t="s">
        <v>158</v>
      </c>
      <c r="I9" s="128" t="s">
        <v>76</v>
      </c>
      <c r="J9" s="127" t="s">
        <v>160</v>
      </c>
      <c r="X9" s="61"/>
    </row>
    <row r="10" spans="1:25" ht="15" x14ac:dyDescent="0.25">
      <c r="B10" s="128" t="s">
        <v>110</v>
      </c>
      <c r="C10" s="53" t="s">
        <v>164</v>
      </c>
      <c r="D10" s="128" t="s">
        <v>111</v>
      </c>
      <c r="E10" t="s">
        <v>165</v>
      </c>
      <c r="G10" s="128" t="s">
        <v>107</v>
      </c>
      <c r="H10" t="s">
        <v>151</v>
      </c>
      <c r="I10" s="128" t="s">
        <v>109</v>
      </c>
      <c r="X10" s="61"/>
    </row>
    <row r="11" spans="1:25" ht="15" x14ac:dyDescent="0.25">
      <c r="B11" s="128" t="s">
        <v>152</v>
      </c>
      <c r="C11">
        <v>4501612599</v>
      </c>
      <c r="D11" s="128"/>
      <c r="G11" s="128" t="s">
        <v>108</v>
      </c>
      <c r="H11" s="53" t="s">
        <v>159</v>
      </c>
      <c r="X11" s="61"/>
    </row>
    <row r="12" spans="1:25" ht="18" x14ac:dyDescent="0.25">
      <c r="A12" s="112" t="s">
        <v>106</v>
      </c>
      <c r="B12" s="113"/>
      <c r="C12" s="113"/>
      <c r="D12" s="113"/>
      <c r="E12" s="113"/>
      <c r="F12" s="113"/>
      <c r="G12" s="113"/>
      <c r="H12" s="113"/>
      <c r="I12" s="113"/>
      <c r="J12" s="113"/>
      <c r="K12" s="113"/>
      <c r="L12" s="113"/>
      <c r="X12" s="61"/>
    </row>
    <row r="13" spans="1:25" ht="9" customHeight="1" thickBot="1" x14ac:dyDescent="0.25">
      <c r="U13" s="2"/>
      <c r="V13" s="1"/>
      <c r="X13" s="61"/>
    </row>
    <row r="14" spans="1:25" ht="15.75" thickBot="1" x14ac:dyDescent="0.3">
      <c r="A14" s="80"/>
      <c r="B14" s="81" t="s">
        <v>54</v>
      </c>
      <c r="C14" s="81" t="s">
        <v>91</v>
      </c>
      <c r="D14" s="82" t="s">
        <v>44</v>
      </c>
      <c r="U14" s="2"/>
      <c r="V14" s="1"/>
      <c r="X14" s="61"/>
    </row>
    <row r="15" spans="1:25" x14ac:dyDescent="0.2">
      <c r="A15" s="93">
        <v>1</v>
      </c>
      <c r="B15" s="94" t="str">
        <f>'שקלול הציון'!A4</f>
        <v>סכנת נפילת אדם</v>
      </c>
      <c r="C15" s="66">
        <f t="shared" ref="C15:C21" si="0">IF(Y15="",$Y$24+W15,0)</f>
        <v>0.33666666666666667</v>
      </c>
      <c r="D15" s="67">
        <f>'שקלול הציון'!Q4</f>
        <v>8.6717171717171734E-2</v>
      </c>
      <c r="U15" s="2"/>
      <c r="V15" s="1"/>
      <c r="W15" s="86">
        <v>0.33</v>
      </c>
      <c r="X15" s="87">
        <f t="shared" ref="X15:X21" si="1">IF(Y15="",$Y$24,0)</f>
        <v>6.6666666666666671E-3</v>
      </c>
      <c r="Y15" s="88" t="str">
        <f t="shared" ref="Y15:Y21" si="2">IF(D15=0,W15,"")</f>
        <v/>
      </c>
    </row>
    <row r="16" spans="1:25" x14ac:dyDescent="0.2">
      <c r="A16" s="93">
        <f>A15+1</f>
        <v>2</v>
      </c>
      <c r="B16" s="94" t="str">
        <f>'שקלול הציון'!A12</f>
        <v>סכנת התמוטטות</v>
      </c>
      <c r="C16" s="66">
        <f t="shared" si="0"/>
        <v>0.36666666666666664</v>
      </c>
      <c r="D16" s="67">
        <f>'שקלול הציון'!Q12</f>
        <v>0.28136574074074072</v>
      </c>
      <c r="U16" s="2"/>
      <c r="V16" s="1"/>
      <c r="W16" s="89">
        <v>0.36</v>
      </c>
      <c r="X16" s="90">
        <f t="shared" si="1"/>
        <v>6.6666666666666671E-3</v>
      </c>
      <c r="Y16" s="91" t="str">
        <f t="shared" si="2"/>
        <v/>
      </c>
    </row>
    <row r="17" spans="1:25" x14ac:dyDescent="0.2">
      <c r="A17" s="93">
        <f t="shared" ref="A17:A21" si="3">A16+1</f>
        <v>3</v>
      </c>
      <c r="B17" s="94" t="str">
        <f>'שקלול הציון'!A30</f>
        <v>נפילת חפצים ופסולת מגובה</v>
      </c>
      <c r="C17" s="66">
        <f t="shared" si="0"/>
        <v>8.666666666666667E-2</v>
      </c>
      <c r="D17" s="67">
        <f>'שקלול הציון'!Q30</f>
        <v>3.2500000000000001E-2</v>
      </c>
      <c r="U17" s="2"/>
      <c r="V17" s="1"/>
      <c r="W17" s="89">
        <v>0.08</v>
      </c>
      <c r="X17" s="90">
        <f t="shared" si="1"/>
        <v>6.6666666666666671E-3</v>
      </c>
      <c r="Y17" s="91" t="str">
        <f t="shared" si="2"/>
        <v/>
      </c>
    </row>
    <row r="18" spans="1:25" x14ac:dyDescent="0.2">
      <c r="A18" s="93">
        <f t="shared" si="3"/>
        <v>4</v>
      </c>
      <c r="B18" s="94" t="str">
        <f>'שקלול הציון'!A34</f>
        <v>סיכוני שינוע</v>
      </c>
      <c r="C18" s="66">
        <f t="shared" si="0"/>
        <v>7.6666666666666675E-2</v>
      </c>
      <c r="D18" s="67">
        <f>'שקלול הציון'!Q34</f>
        <v>6.0238095238095243E-2</v>
      </c>
      <c r="U18" s="2"/>
      <c r="V18" s="1"/>
      <c r="W18" s="89">
        <v>7.0000000000000007E-2</v>
      </c>
      <c r="X18" s="90">
        <f t="shared" si="1"/>
        <v>6.6666666666666671E-3</v>
      </c>
      <c r="Y18" s="91" t="str">
        <f t="shared" si="2"/>
        <v/>
      </c>
    </row>
    <row r="19" spans="1:25" x14ac:dyDescent="0.2">
      <c r="A19" s="93">
        <f t="shared" si="3"/>
        <v>5</v>
      </c>
      <c r="B19" s="94" t="str">
        <f>'שקלול הציון'!A39</f>
        <v>שימוש בציוד מגן</v>
      </c>
      <c r="C19" s="66">
        <f t="shared" si="0"/>
        <v>5.6666666666666671E-2</v>
      </c>
      <c r="D19" s="67">
        <f>'שקלול הציון'!Q39</f>
        <v>5.6666666666666664E-2</v>
      </c>
      <c r="U19" s="2"/>
      <c r="V19" s="1"/>
      <c r="W19" s="89">
        <v>0.05</v>
      </c>
      <c r="X19" s="90">
        <f t="shared" si="1"/>
        <v>6.6666666666666671E-3</v>
      </c>
      <c r="Y19" s="91" t="str">
        <f t="shared" si="2"/>
        <v/>
      </c>
    </row>
    <row r="20" spans="1:25" x14ac:dyDescent="0.2">
      <c r="A20" s="93">
        <f t="shared" si="3"/>
        <v>6</v>
      </c>
      <c r="B20" s="94" t="str">
        <f>'שקלול הציון'!A42</f>
        <v>רמת ארגון אתר</v>
      </c>
      <c r="C20" s="66">
        <f t="shared" si="0"/>
        <v>7.6666666666666675E-2</v>
      </c>
      <c r="D20" s="67">
        <f>'שקלול הציון'!Q42</f>
        <v>4.685185185185186E-2</v>
      </c>
      <c r="U20" s="2"/>
      <c r="V20" s="1"/>
      <c r="W20" s="89">
        <v>7.0000000000000007E-2</v>
      </c>
      <c r="X20" s="90">
        <f t="shared" si="1"/>
        <v>6.6666666666666671E-3</v>
      </c>
      <c r="Y20" s="91" t="str">
        <f t="shared" si="2"/>
        <v/>
      </c>
    </row>
    <row r="21" spans="1:25" x14ac:dyDescent="0.2">
      <c r="A21" s="93">
        <f t="shared" si="3"/>
        <v>7</v>
      </c>
      <c r="B21" s="94" t="str">
        <f>'שקלול הציון'!A46</f>
        <v>סיכוני עבודה חמה</v>
      </c>
      <c r="C21" s="66">
        <f t="shared" si="0"/>
        <v>0</v>
      </c>
      <c r="D21" s="67">
        <f>'שקלול הציון'!Q46</f>
        <v>0</v>
      </c>
      <c r="U21" s="2"/>
      <c r="V21" s="1"/>
      <c r="W21" s="89">
        <v>0.04</v>
      </c>
      <c r="X21" s="90">
        <f t="shared" si="1"/>
        <v>0</v>
      </c>
      <c r="Y21" s="91">
        <f t="shared" si="2"/>
        <v>0.04</v>
      </c>
    </row>
    <row r="22" spans="1:25" ht="15" thickBot="1" x14ac:dyDescent="0.25">
      <c r="A22" s="101"/>
      <c r="B22" s="101" t="s">
        <v>92</v>
      </c>
      <c r="C22" s="102">
        <f>SUM(C15:C21)</f>
        <v>1</v>
      </c>
      <c r="D22" s="103">
        <f>SUM(D15:D21)</f>
        <v>0.56433952621452621</v>
      </c>
      <c r="U22" s="2"/>
      <c r="V22" s="1"/>
      <c r="W22" s="3"/>
      <c r="X22" s="90">
        <f>SUM(X15:X21)</f>
        <v>0.04</v>
      </c>
      <c r="Y22" s="92">
        <f>SUM(Y15:Y21)</f>
        <v>0.04</v>
      </c>
    </row>
    <row r="23" spans="1:25" ht="15" thickBot="1" x14ac:dyDescent="0.25">
      <c r="U23" s="2"/>
      <c r="V23" s="1"/>
      <c r="W23" s="3"/>
      <c r="X23" s="62"/>
      <c r="Y23" s="91">
        <f>COUNT(Y15:Y21)</f>
        <v>1</v>
      </c>
    </row>
    <row r="24" spans="1:25" ht="15.75" customHeight="1" thickBot="1" x14ac:dyDescent="0.25">
      <c r="A24" s="115"/>
      <c r="B24" s="116"/>
      <c r="C24" s="116"/>
      <c r="D24" s="117"/>
      <c r="R24" s="52"/>
      <c r="W24" s="63"/>
      <c r="X24" s="64"/>
      <c r="Y24" s="65">
        <f>Y22/(7-Y23)</f>
        <v>6.6666666666666671E-3</v>
      </c>
    </row>
    <row r="25" spans="1:25" ht="15" customHeight="1" x14ac:dyDescent="0.2">
      <c r="A25" s="118"/>
      <c r="B25" s="95"/>
      <c r="C25" s="95"/>
      <c r="D25" s="119"/>
      <c r="R25" s="52"/>
      <c r="W25" s="74"/>
      <c r="X25" s="61"/>
    </row>
    <row r="26" spans="1:25" ht="15" customHeight="1" x14ac:dyDescent="0.2">
      <c r="A26" s="118"/>
      <c r="B26" s="95" t="s">
        <v>72</v>
      </c>
      <c r="C26" s="95" t="str">
        <f>IF(D22&gt;0.8,"גבוהה",IF(D22&lt;0.4,"נמוכה","בינונית"))</f>
        <v>בינונית</v>
      </c>
      <c r="D26" s="119"/>
      <c r="R26" s="52"/>
      <c r="W26" s="74"/>
      <c r="X26" s="61"/>
    </row>
    <row r="27" spans="1:25" ht="23.25" x14ac:dyDescent="0.2">
      <c r="A27" s="120"/>
      <c r="B27" s="96"/>
      <c r="C27" s="96"/>
      <c r="D27" s="119"/>
      <c r="R27" s="52"/>
      <c r="W27" s="74"/>
      <c r="X27" s="61"/>
    </row>
    <row r="28" spans="1:25" ht="15" thickBot="1" x14ac:dyDescent="0.25">
      <c r="A28" s="121"/>
      <c r="B28" s="122"/>
      <c r="C28" s="122"/>
      <c r="D28" s="123"/>
      <c r="R28" s="52"/>
      <c r="W28" s="74"/>
      <c r="X28" s="61"/>
    </row>
    <row r="29" spans="1:25" x14ac:dyDescent="0.2">
      <c r="R29" s="52"/>
      <c r="W29" s="74"/>
      <c r="X29" s="61"/>
    </row>
    <row r="30" spans="1:25" x14ac:dyDescent="0.2">
      <c r="R30" s="52"/>
      <c r="W30" s="74"/>
      <c r="X30" s="61"/>
    </row>
    <row r="31" spans="1:25" x14ac:dyDescent="0.2">
      <c r="R31" s="52"/>
      <c r="W31" s="74"/>
      <c r="X31" s="61"/>
    </row>
    <row r="32" spans="1:25" x14ac:dyDescent="0.2">
      <c r="R32" s="52"/>
      <c r="W32" s="74"/>
      <c r="X32" s="61"/>
    </row>
    <row r="33" spans="1:12" ht="18" x14ac:dyDescent="0.25">
      <c r="A33" s="112" t="s">
        <v>93</v>
      </c>
      <c r="B33" s="113"/>
      <c r="C33" s="113"/>
      <c r="D33" s="113"/>
      <c r="E33" s="113"/>
      <c r="F33" s="113"/>
      <c r="G33" s="113"/>
      <c r="H33" s="113"/>
      <c r="I33" s="113"/>
      <c r="J33" s="113"/>
      <c r="K33" s="113"/>
      <c r="L33" s="113"/>
    </row>
    <row r="34" spans="1:12" ht="7.5" customHeight="1" thickBot="1" x14ac:dyDescent="0.3">
      <c r="A34" s="75"/>
    </row>
    <row r="35" spans="1:12" ht="28.5" x14ac:dyDescent="0.2">
      <c r="B35" s="77" t="s">
        <v>77</v>
      </c>
      <c r="C35" s="78" t="s">
        <v>78</v>
      </c>
      <c r="D35" s="78" t="s">
        <v>79</v>
      </c>
      <c r="E35" s="78" t="s">
        <v>81</v>
      </c>
      <c r="F35" s="79" t="s">
        <v>80</v>
      </c>
    </row>
    <row r="36" spans="1:12" x14ac:dyDescent="0.2">
      <c r="B36" s="69">
        <v>1</v>
      </c>
      <c r="C36" s="70" t="s">
        <v>153</v>
      </c>
      <c r="D36" s="70">
        <v>5</v>
      </c>
      <c r="E36" s="70">
        <v>450</v>
      </c>
      <c r="F36" s="71">
        <f>E36*D36</f>
        <v>2250</v>
      </c>
    </row>
    <row r="37" spans="1:12" x14ac:dyDescent="0.2">
      <c r="B37" s="69">
        <v>2</v>
      </c>
      <c r="C37" s="70" t="s">
        <v>153</v>
      </c>
      <c r="D37" s="70">
        <v>5</v>
      </c>
      <c r="E37" s="70">
        <v>900</v>
      </c>
      <c r="F37" s="71">
        <f t="shared" ref="F37:F39" si="4">E37*D37</f>
        <v>4500</v>
      </c>
    </row>
    <row r="38" spans="1:12" x14ac:dyDescent="0.2">
      <c r="B38" s="69">
        <v>3</v>
      </c>
      <c r="C38" s="70" t="s">
        <v>153</v>
      </c>
      <c r="D38" s="70">
        <v>5</v>
      </c>
      <c r="E38" s="70">
        <v>450</v>
      </c>
      <c r="F38" s="71">
        <f t="shared" si="4"/>
        <v>2250</v>
      </c>
    </row>
    <row r="39" spans="1:12" ht="15" thickBot="1" x14ac:dyDescent="0.25">
      <c r="B39" s="68"/>
      <c r="C39" s="70"/>
      <c r="D39" s="72"/>
      <c r="E39" s="70"/>
      <c r="F39" s="73">
        <f t="shared" si="4"/>
        <v>0</v>
      </c>
    </row>
    <row r="40" spans="1:12" ht="15.75" thickBot="1" x14ac:dyDescent="0.3">
      <c r="C40" s="49"/>
      <c r="D40" s="53"/>
      <c r="E40" s="104" t="s">
        <v>92</v>
      </c>
      <c r="F40" s="105">
        <f>SUM(F36:F39)</f>
        <v>9000</v>
      </c>
    </row>
    <row r="41" spans="1:12" ht="15" x14ac:dyDescent="0.25">
      <c r="C41" s="76"/>
      <c r="D41" s="53"/>
      <c r="F41" s="76"/>
    </row>
    <row r="42" spans="1:12" ht="18" x14ac:dyDescent="0.25">
      <c r="A42" s="112" t="s">
        <v>82</v>
      </c>
      <c r="B42" s="113"/>
      <c r="C42" s="113"/>
      <c r="D42" s="113"/>
      <c r="E42" s="113"/>
      <c r="F42" s="113"/>
      <c r="G42" s="113"/>
      <c r="H42" s="113"/>
      <c r="I42" s="113"/>
      <c r="J42" s="113"/>
      <c r="K42" s="113"/>
      <c r="L42" s="113"/>
    </row>
    <row r="43" spans="1:12" ht="9" customHeight="1" thickBot="1" x14ac:dyDescent="0.3">
      <c r="A43" s="75"/>
      <c r="E43" s="48"/>
    </row>
    <row r="44" spans="1:12" ht="15" x14ac:dyDescent="0.25">
      <c r="B44" s="83" t="s">
        <v>83</v>
      </c>
      <c r="C44" s="110" t="s">
        <v>84</v>
      </c>
      <c r="D44" s="84" t="s">
        <v>85</v>
      </c>
      <c r="E44" s="48"/>
    </row>
    <row r="45" spans="1:12" ht="15" x14ac:dyDescent="0.25">
      <c r="B45" s="69" t="s">
        <v>86</v>
      </c>
      <c r="C45" s="107">
        <v>2</v>
      </c>
      <c r="D45" s="71"/>
      <c r="E45" s="48"/>
    </row>
    <row r="46" spans="1:12" ht="15" x14ac:dyDescent="0.25">
      <c r="B46" s="69" t="s">
        <v>87</v>
      </c>
      <c r="C46" s="107"/>
      <c r="D46" s="71"/>
      <c r="E46" s="48"/>
    </row>
    <row r="47" spans="1:12" ht="15" x14ac:dyDescent="0.25">
      <c r="B47" s="69" t="s">
        <v>88</v>
      </c>
      <c r="C47" s="107"/>
      <c r="D47" s="71"/>
      <c r="E47" s="48"/>
    </row>
    <row r="48" spans="1:12" ht="15" x14ac:dyDescent="0.25">
      <c r="B48" s="69" t="s">
        <v>89</v>
      </c>
      <c r="C48" s="107"/>
      <c r="D48" s="71"/>
      <c r="E48" s="48"/>
    </row>
    <row r="49" spans="1:12" ht="15.75" thickBot="1" x14ac:dyDescent="0.3">
      <c r="B49" s="68" t="s">
        <v>90</v>
      </c>
      <c r="C49" s="108"/>
      <c r="D49" s="73"/>
      <c r="E49" s="48"/>
    </row>
    <row r="50" spans="1:12" ht="15.75" thickBot="1" x14ac:dyDescent="0.3">
      <c r="B50" s="106" t="s">
        <v>104</v>
      </c>
      <c r="C50" s="109">
        <f>SUM(C45:C49)</f>
        <v>2</v>
      </c>
      <c r="E50" s="48"/>
    </row>
    <row r="51" spans="1:12" ht="15" x14ac:dyDescent="0.25">
      <c r="C51" s="76"/>
      <c r="E51" s="48"/>
    </row>
    <row r="52" spans="1:12" ht="15" x14ac:dyDescent="0.25">
      <c r="E52" s="48"/>
    </row>
    <row r="53" spans="1:12" ht="18" x14ac:dyDescent="0.25">
      <c r="A53" s="112" t="s">
        <v>94</v>
      </c>
      <c r="B53" s="113"/>
      <c r="C53" s="113"/>
      <c r="D53" s="113"/>
      <c r="E53" s="113"/>
      <c r="F53" s="113"/>
      <c r="G53" s="113"/>
      <c r="H53" s="113"/>
      <c r="I53" s="113"/>
      <c r="J53" s="113"/>
      <c r="K53" s="113"/>
      <c r="L53" s="113"/>
    </row>
    <row r="54" spans="1:12" ht="7.5" customHeight="1" thickBot="1" x14ac:dyDescent="0.3">
      <c r="A54" s="75"/>
      <c r="B54" s="48"/>
      <c r="E54" s="48"/>
    </row>
    <row r="55" spans="1:12" x14ac:dyDescent="0.2">
      <c r="B55" s="177" t="s">
        <v>187</v>
      </c>
      <c r="C55" s="178"/>
      <c r="D55" s="178"/>
      <c r="E55" s="178"/>
      <c r="F55" s="178"/>
      <c r="G55" s="178"/>
      <c r="H55" s="178"/>
      <c r="I55" s="178"/>
      <c r="J55" s="178"/>
      <c r="K55" s="179"/>
    </row>
    <row r="56" spans="1:12" x14ac:dyDescent="0.2">
      <c r="B56" s="180"/>
      <c r="C56" s="181"/>
      <c r="D56" s="181"/>
      <c r="E56" s="181"/>
      <c r="F56" s="181"/>
      <c r="G56" s="181"/>
      <c r="H56" s="181"/>
      <c r="I56" s="181"/>
      <c r="J56" s="181"/>
      <c r="K56" s="182"/>
    </row>
    <row r="57" spans="1:12" x14ac:dyDescent="0.2">
      <c r="B57" s="180"/>
      <c r="C57" s="181"/>
      <c r="D57" s="181"/>
      <c r="E57" s="181"/>
      <c r="F57" s="181"/>
      <c r="G57" s="181"/>
      <c r="H57" s="181"/>
      <c r="I57" s="181"/>
      <c r="J57" s="181"/>
      <c r="K57" s="182"/>
    </row>
    <row r="58" spans="1:12" x14ac:dyDescent="0.2">
      <c r="B58" s="180"/>
      <c r="C58" s="181"/>
      <c r="D58" s="181"/>
      <c r="E58" s="181"/>
      <c r="F58" s="181"/>
      <c r="G58" s="181"/>
      <c r="H58" s="181"/>
      <c r="I58" s="181"/>
      <c r="J58" s="181"/>
      <c r="K58" s="182"/>
    </row>
    <row r="59" spans="1:12" x14ac:dyDescent="0.2">
      <c r="B59" s="180"/>
      <c r="C59" s="181"/>
      <c r="D59" s="181"/>
      <c r="E59" s="181"/>
      <c r="F59" s="181"/>
      <c r="G59" s="181"/>
      <c r="H59" s="181"/>
      <c r="I59" s="181"/>
      <c r="J59" s="181"/>
      <c r="K59" s="182"/>
    </row>
    <row r="60" spans="1:12" ht="15" thickBot="1" x14ac:dyDescent="0.25">
      <c r="B60" s="183"/>
      <c r="C60" s="184"/>
      <c r="D60" s="184"/>
      <c r="E60" s="184"/>
      <c r="F60" s="184"/>
      <c r="G60" s="184"/>
      <c r="H60" s="184"/>
      <c r="I60" s="184"/>
      <c r="J60" s="184"/>
      <c r="K60" s="185"/>
    </row>
    <row r="62" spans="1:12" ht="18" x14ac:dyDescent="0.25">
      <c r="A62" s="112" t="s">
        <v>98</v>
      </c>
      <c r="B62" s="113"/>
      <c r="C62" s="113"/>
      <c r="D62" s="113"/>
      <c r="E62" s="113"/>
      <c r="F62" s="113"/>
      <c r="G62" s="113"/>
      <c r="H62" s="113"/>
      <c r="I62" s="113"/>
      <c r="J62" s="113"/>
      <c r="K62" s="113"/>
      <c r="L62" s="113"/>
    </row>
    <row r="63" spans="1:12" ht="9" customHeight="1" x14ac:dyDescent="0.2"/>
    <row r="64" spans="1:12" s="97" customFormat="1" ht="21.75" customHeight="1" x14ac:dyDescent="0.2">
      <c r="B64" s="97" t="s">
        <v>99</v>
      </c>
      <c r="G64" s="97" t="s">
        <v>101</v>
      </c>
    </row>
    <row r="65" spans="1:12" s="97" customFormat="1" ht="21.75" customHeight="1" x14ac:dyDescent="0.2">
      <c r="B65" s="97" t="s">
        <v>97</v>
      </c>
      <c r="G65" s="97" t="s">
        <v>102</v>
      </c>
    </row>
    <row r="66" spans="1:12" s="97" customFormat="1" ht="21.75" customHeight="1" x14ac:dyDescent="0.2">
      <c r="B66" s="97" t="s">
        <v>100</v>
      </c>
      <c r="G66" s="97" t="s">
        <v>103</v>
      </c>
    </row>
    <row r="69" spans="1:12" x14ac:dyDescent="0.2">
      <c r="A69" s="98"/>
      <c r="B69" s="98"/>
      <c r="C69" s="98"/>
      <c r="D69" s="98"/>
      <c r="E69" s="98"/>
      <c r="F69" s="98"/>
      <c r="G69" s="98"/>
      <c r="H69" s="98"/>
      <c r="I69" s="98"/>
      <c r="J69" s="98"/>
      <c r="K69" s="98"/>
      <c r="L69" s="98"/>
    </row>
    <row r="70" spans="1:12" ht="18" x14ac:dyDescent="0.25">
      <c r="A70" s="99"/>
      <c r="B70" s="99"/>
      <c r="C70" s="98"/>
      <c r="D70" s="100"/>
      <c r="E70" s="98"/>
      <c r="F70" s="98"/>
      <c r="G70" s="98"/>
      <c r="H70" s="98"/>
      <c r="I70" s="98"/>
      <c r="J70" s="98"/>
      <c r="K70" s="98"/>
      <c r="L70" s="98"/>
    </row>
    <row r="71" spans="1:12" x14ac:dyDescent="0.2">
      <c r="A71" s="98" t="s">
        <v>96</v>
      </c>
      <c r="B71" s="98"/>
      <c r="C71" s="98"/>
      <c r="D71" s="98"/>
      <c r="E71" s="98"/>
      <c r="F71" s="98"/>
      <c r="G71" s="98"/>
      <c r="H71" s="98"/>
      <c r="I71" s="98"/>
      <c r="J71" s="98"/>
      <c r="K71" s="98"/>
      <c r="L71" s="98"/>
    </row>
    <row r="72" spans="1:12" x14ac:dyDescent="0.2">
      <c r="A72" s="111"/>
      <c r="B72" s="111"/>
      <c r="C72" s="111"/>
      <c r="D72" s="111"/>
      <c r="E72" s="111"/>
      <c r="F72" s="111"/>
      <c r="G72" s="111"/>
      <c r="H72" s="111"/>
      <c r="I72" s="111"/>
      <c r="J72" s="111"/>
      <c r="K72" s="111"/>
      <c r="L72" s="111"/>
    </row>
  </sheetData>
  <mergeCells count="2">
    <mergeCell ref="F7:G7"/>
    <mergeCell ref="B55:K60"/>
  </mergeCells>
  <conditionalFormatting sqref="D25 A24:D24 A26:D28">
    <cfRule type="expression" dxfId="5" priority="7">
      <formula>$C$26="גבוהה"</formula>
    </cfRule>
    <cfRule type="expression" dxfId="4" priority="8">
      <formula>$C$26="בינונית"</formula>
    </cfRule>
    <cfRule type="expression" dxfId="3" priority="9">
      <formula>$C$26="נמוכה"</formula>
    </cfRule>
  </conditionalFormatting>
  <conditionalFormatting sqref="A25:C25">
    <cfRule type="expression" dxfId="2" priority="1">
      <formula>$C$26="גבוהה"</formula>
    </cfRule>
    <cfRule type="expression" dxfId="1" priority="2">
      <formula>$C$26="בינונית"</formula>
    </cfRule>
    <cfRule type="expression" dxfId="0" priority="3">
      <formula>$C$26="נמוכה"</formula>
    </cfRule>
  </conditionalFormatting>
  <printOptions horizontalCentered="1" verticalCentered="1"/>
  <pageMargins left="0.23622047244094491" right="0.23622047244094491" top="0.74803149606299213" bottom="0.74803149606299213" header="0.31496062992125984"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rightToLeft="1" topLeftCell="A37" workbookViewId="0">
      <selection activeCell="W9" sqref="W9"/>
    </sheetView>
  </sheetViews>
  <sheetFormatPr defaultRowHeight="14.25" outlineLevelCol="1" x14ac:dyDescent="0.2"/>
  <cols>
    <col min="1" max="1" width="22.625" bestFit="1" customWidth="1"/>
    <col min="2" max="2" width="9.375" customWidth="1"/>
    <col min="3" max="3" width="23.875" customWidth="1"/>
    <col min="4" max="4" width="10.625" bestFit="1" customWidth="1"/>
    <col min="5" max="5" width="33.25" customWidth="1"/>
    <col min="6" max="6" width="7.375" customWidth="1"/>
    <col min="7" max="7" width="6.25" bestFit="1" customWidth="1"/>
    <col min="8" max="8" width="3.625" hidden="1" customWidth="1" outlineLevel="1"/>
    <col min="9" max="9" width="4.625" hidden="1" customWidth="1" outlineLevel="1"/>
    <col min="10" max="10" width="7.875" bestFit="1" customWidth="1" collapsed="1"/>
    <col min="11" max="11" width="5" hidden="1" customWidth="1" outlineLevel="1"/>
    <col min="12" max="12" width="3.625" hidden="1" customWidth="1" outlineLevel="1"/>
    <col min="13" max="13" width="2" hidden="1" customWidth="1" outlineLevel="1"/>
    <col min="14" max="14" width="6.75" customWidth="1" collapsed="1"/>
    <col min="15" max="15" width="2" hidden="1" customWidth="1" outlineLevel="1"/>
    <col min="16" max="16" width="5" hidden="1" customWidth="1" outlineLevel="1"/>
    <col min="17" max="17" width="10.75" bestFit="1" customWidth="1" collapsed="1"/>
  </cols>
  <sheetData>
    <row r="1" spans="1:21" ht="18" x14ac:dyDescent="0.25">
      <c r="A1" s="85" t="s">
        <v>112</v>
      </c>
      <c r="B1" s="172" t="s">
        <v>159</v>
      </c>
      <c r="C1" s="50"/>
    </row>
    <row r="2" spans="1:21" ht="15.75" thickBot="1" x14ac:dyDescent="0.3">
      <c r="B2" s="49"/>
      <c r="C2" s="53"/>
      <c r="D2" s="48"/>
      <c r="Q2" s="52"/>
    </row>
    <row r="3" spans="1:21" ht="45.75" thickBot="1" x14ac:dyDescent="0.3">
      <c r="A3" s="11" t="s">
        <v>54</v>
      </c>
      <c r="B3" s="12" t="s">
        <v>61</v>
      </c>
      <c r="C3" s="12" t="s">
        <v>60</v>
      </c>
      <c r="D3" s="12" t="s">
        <v>62</v>
      </c>
      <c r="E3" s="12" t="s">
        <v>59</v>
      </c>
      <c r="F3" s="12" t="s">
        <v>63</v>
      </c>
      <c r="G3" s="12" t="s">
        <v>55</v>
      </c>
      <c r="H3" s="12"/>
      <c r="I3" s="12"/>
      <c r="J3" s="12" t="s">
        <v>56</v>
      </c>
      <c r="K3" s="12"/>
      <c r="L3" s="12"/>
      <c r="M3" s="12"/>
      <c r="N3" s="12" t="s">
        <v>58</v>
      </c>
      <c r="O3" s="12"/>
      <c r="P3" s="12"/>
      <c r="Q3" s="13" t="s">
        <v>57</v>
      </c>
    </row>
    <row r="4" spans="1:21" ht="15" x14ac:dyDescent="0.25">
      <c r="A4" s="146" t="s">
        <v>0</v>
      </c>
      <c r="B4" s="149">
        <v>0.33</v>
      </c>
      <c r="C4" s="163" t="s">
        <v>7</v>
      </c>
      <c r="D4" s="165">
        <v>0.1</v>
      </c>
      <c r="E4" s="7" t="s">
        <v>34</v>
      </c>
      <c r="F4" s="14">
        <v>7.0000000000000007E-2</v>
      </c>
      <c r="G4" s="15">
        <f>IF(COUNTIFS('ליקויים מהמערכת'!$G:$G,$B$1,'ליקויים מהמערכת'!$C:$C,REPLACE(E4,1,0,"ליקוי ל: "))=0,"",SUMIFS('ליקויים מהמערכת'!$H:$H,'ליקויים מהמערכת'!$G:$G,$B$1,'ליקויים מהמערכת'!$C:$C,REPLACE(E4,1,0,"ליקוי ל: "))/100/COUNTIFS('ליקויים מהמערכת'!$G:$G,$B$1,'ליקויים מהמערכת'!$C:$C,REPLACE(E4,1,0,"ליקוי ל: ")))</f>
        <v>0</v>
      </c>
      <c r="H4" s="16" t="str">
        <f t="shared" ref="H4:H48" si="0">IF(G4="",F4,"")</f>
        <v/>
      </c>
      <c r="I4" s="140">
        <f>SUM(H4:H5)</f>
        <v>0</v>
      </c>
      <c r="J4" s="17">
        <f>IFERROR(IF(G4="","",(F4+I$4/COUNTA(G$4:G$5))*G4),F4*G4)</f>
        <v>0</v>
      </c>
      <c r="K4" s="137" t="str">
        <f>IF(COUNTBLANK(G4:G5)=COUNTA(F4:F5),D4,"")</f>
        <v/>
      </c>
      <c r="L4" s="140">
        <f>IFERROR(SUM(K4:K11)/SUM(M4:M11),0)</f>
        <v>1.3333333333333334E-2</v>
      </c>
      <c r="M4" s="137">
        <f>IF(K4="",1,"")</f>
        <v>1</v>
      </c>
      <c r="N4" s="157">
        <f>SUM(J4:J5)/D4*L$4+SUM(J4:J5)</f>
        <v>0</v>
      </c>
      <c r="O4" s="137">
        <f>IF(L4&gt;0,1,IF(SUM(M4:M11)=4,1,""))</f>
        <v>1</v>
      </c>
      <c r="P4" s="140" t="str">
        <f>IF(O4="",B4,"")</f>
        <v/>
      </c>
      <c r="Q4" s="143">
        <f>SUM(P4:P48)/SUM(O4:O48)*(SUM(N4:N11)/B4)+SUM(N4:N11)</f>
        <v>8.6717171717171734E-2</v>
      </c>
      <c r="U4">
        <f>COUNTIFS('ליקויים מהמערכת'!$G:$G,$B$1,'ליקויים מהמערכת'!$C:$C,REPLACE(E4,1,0,"ליקוי ל: "))</f>
        <v>1</v>
      </c>
    </row>
    <row r="5" spans="1:21" ht="30" x14ac:dyDescent="0.25">
      <c r="A5" s="147"/>
      <c r="B5" s="150"/>
      <c r="C5" s="164"/>
      <c r="D5" s="161"/>
      <c r="E5" s="4" t="s">
        <v>35</v>
      </c>
      <c r="F5" s="18">
        <v>0.03</v>
      </c>
      <c r="G5" s="19">
        <f>IF(COUNTIFS('ליקויים מהמערכת'!$G:$G,$B$1,'ליקויים מהמערכת'!$C:$C,REPLACE(E5,1,0,"ליקוי ל: "))=0,"",SUMIFS('ליקויים מהמערכת'!$H:$H,'ליקויים מהמערכת'!$G:$G,$B$1,'ליקויים מהמערכת'!$C:$C,REPLACE(E5,1,0,"ליקוי ל: "))/100/COUNTIFS('ליקויים מהמערכת'!$G:$G,$B$1,'ליקויים מהמערכת'!$C:$C,REPLACE(E5,1,0,"ליקוי ל: ")))</f>
        <v>0</v>
      </c>
      <c r="H5" s="20" t="str">
        <f t="shared" si="0"/>
        <v/>
      </c>
      <c r="I5" s="141"/>
      <c r="J5" s="21">
        <f>IFERROR(IF(G5="","",(F5+I$4/COUNT(G$4:G$5))*G5),F5*G5)</f>
        <v>0</v>
      </c>
      <c r="K5" s="138"/>
      <c r="L5" s="141"/>
      <c r="M5" s="138"/>
      <c r="N5" s="155"/>
      <c r="O5" s="138"/>
      <c r="P5" s="141"/>
      <c r="Q5" s="144"/>
      <c r="U5">
        <f>COUNTIFS('ליקויים מהמערכת'!$G:$G,$B$1,'ליקויים מהמערכת'!$C:$C,REPLACE(E5,1,0,"ליקוי ל: "))</f>
        <v>1</v>
      </c>
    </row>
    <row r="6" spans="1:21" ht="15" x14ac:dyDescent="0.25">
      <c r="A6" s="147"/>
      <c r="B6" s="150"/>
      <c r="C6" s="166" t="s">
        <v>8</v>
      </c>
      <c r="D6" s="168">
        <v>0.09</v>
      </c>
      <c r="E6" s="4" t="s">
        <v>36</v>
      </c>
      <c r="F6" s="18">
        <v>0.05</v>
      </c>
      <c r="G6" s="19">
        <f>IF(COUNTIFS('ליקויים מהמערכת'!$G:$G,$B$1,'ליקויים מהמערכת'!$C:$C,REPLACE(E6,1,0,"ליקוי ל: "))=0,"",SUMIFS('ליקויים מהמערכת'!$H:$H,'ליקויים מהמערכת'!$G:$G,$B$1,'ליקויים מהמערכת'!$C:$C,REPLACE(E6,1,0,"ליקוי ל: "))/100/COUNTIFS('ליקויים מהמערכת'!$G:$G,$B$1,'ליקויים מהמערכת'!$C:$C,REPLACE(E6,1,0,"ליקוי ל: ")))</f>
        <v>0</v>
      </c>
      <c r="H6" s="20" t="str">
        <f t="shared" si="0"/>
        <v/>
      </c>
      <c r="I6" s="141">
        <f>SUM(H6:H7)</f>
        <v>0.04</v>
      </c>
      <c r="J6" s="21">
        <f>IFERROR(IF(G6="","",(F6+I$6/COUNT(G$6:G$7))*G6),F6*G6)</f>
        <v>0</v>
      </c>
      <c r="K6" s="138" t="str">
        <f>IF(COUNTBLANK(G6:G7)=COUNTA(F6:F7),D6,"")</f>
        <v/>
      </c>
      <c r="L6" s="141"/>
      <c r="M6" s="138">
        <f>IF(K6="",1,"")</f>
        <v>1</v>
      </c>
      <c r="N6" s="155">
        <f>SUM(J6:J7)/D6*L$4+SUM(J6:J7)</f>
        <v>0</v>
      </c>
      <c r="O6" s="138"/>
      <c r="P6" s="141"/>
      <c r="Q6" s="144"/>
      <c r="U6">
        <f>COUNTIFS('ליקויים מהמערכת'!$G:$G,$B$1,'ליקויים מהמערכת'!$C:$C,REPLACE(E6,1,0,"ליקוי ל: "))</f>
        <v>1</v>
      </c>
    </row>
    <row r="7" spans="1:21" ht="15" x14ac:dyDescent="0.25">
      <c r="A7" s="147"/>
      <c r="B7" s="150"/>
      <c r="C7" s="167"/>
      <c r="D7" s="169"/>
      <c r="E7" s="126" t="s">
        <v>122</v>
      </c>
      <c r="F7" s="22">
        <v>0.04</v>
      </c>
      <c r="G7" s="19" t="str">
        <f>IF(COUNTIFS('ליקויים מהמערכת'!$G:$G,$B$1,'ליקויים מהמערכת'!$C:$C,REPLACE(E7,1,0,"ליקוי ל: "))=0,"",SUMIFS('ליקויים מהמערכת'!$H:$H,'ליקויים מהמערכת'!$G:$G,$B$1,'ליקויים מהמערכת'!$C:$C,REPLACE(E7,1,0,"ליקוי ל: "))/100/COUNTIFS('ליקויים מהמערכת'!$G:$G,$B$1,'ליקויים מהמערכת'!$C:$C,REPLACE(E7,1,0,"ליקוי ל: ")))</f>
        <v/>
      </c>
      <c r="H7" s="20">
        <f t="shared" si="0"/>
        <v>0.04</v>
      </c>
      <c r="I7" s="141"/>
      <c r="J7" s="21" t="str">
        <f>IFERROR(IF(G7="","",(F7+I$6/COUNT(G$6:G$7))*G7),F7*G7)</f>
        <v/>
      </c>
      <c r="K7" s="138"/>
      <c r="L7" s="141"/>
      <c r="M7" s="138"/>
      <c r="N7" s="155"/>
      <c r="O7" s="138"/>
      <c r="P7" s="141"/>
      <c r="Q7" s="144"/>
      <c r="U7">
        <f>COUNTIFS('ליקויים מהמערכת'!$G:$G,$B$1,'ליקויים מהמערכת'!$C:$C,REPLACE(E7,1,0,"ליקוי ל: "))</f>
        <v>0</v>
      </c>
    </row>
    <row r="8" spans="1:21" ht="15" x14ac:dyDescent="0.25">
      <c r="A8" s="147"/>
      <c r="B8" s="150"/>
      <c r="C8" s="164" t="s">
        <v>9</v>
      </c>
      <c r="D8" s="161">
        <v>0.1</v>
      </c>
      <c r="E8" s="4" t="s">
        <v>37</v>
      </c>
      <c r="F8" s="22">
        <v>7.0000000000000007E-2</v>
      </c>
      <c r="G8" s="19">
        <f>IF(COUNTIFS('ליקויים מהמערכת'!$G:$G,$B$1,'ליקויים מהמערכת'!$C:$C,REPLACE(E8,1,0,"ליקוי ל: "))=0,"",SUMIFS('ליקויים מהמערכת'!$H:$H,'ליקויים מהמערכת'!$G:$G,$B$1,'ליקויים מהמערכת'!$C:$C,REPLACE(E8,1,0,"ליקוי ל: "))/100/COUNTIFS('ליקויים מהמערכת'!$G:$G,$B$1,'ליקויים מהמערכת'!$C:$C,REPLACE(E8,1,0,"ליקוי ל: ")))</f>
        <v>0.75</v>
      </c>
      <c r="H8" s="20" t="str">
        <f t="shared" si="0"/>
        <v/>
      </c>
      <c r="I8" s="141">
        <f>SUM(H8:H9)</f>
        <v>0</v>
      </c>
      <c r="J8" s="21">
        <f>IFERROR(IF(G8="","",(F8+I$8/COUNT(G$8:G$9))*G8),F8*G8)</f>
        <v>5.2500000000000005E-2</v>
      </c>
      <c r="K8" s="138" t="str">
        <f>IF(COUNTBLANK(G8:G9)=COUNTA(F8:F9),D8,"")</f>
        <v/>
      </c>
      <c r="L8" s="141"/>
      <c r="M8" s="138">
        <f>IF(K8="",1,"")</f>
        <v>1</v>
      </c>
      <c r="N8" s="155">
        <f>SUM(J8:J9)/D8*L$4+SUM(J8:J9)</f>
        <v>8.500000000000002E-2</v>
      </c>
      <c r="O8" s="138"/>
      <c r="P8" s="141"/>
      <c r="Q8" s="144"/>
      <c r="U8">
        <f>COUNTIFS('ליקויים מהמערכת'!$G:$G,$B$1,'ליקויים מהמערכת'!$C:$C,REPLACE(E8,1,0,"ליקוי ל: "))</f>
        <v>3</v>
      </c>
    </row>
    <row r="9" spans="1:21" ht="30" x14ac:dyDescent="0.25">
      <c r="A9" s="147"/>
      <c r="B9" s="150"/>
      <c r="C9" s="164"/>
      <c r="D9" s="161"/>
      <c r="E9" s="4" t="s">
        <v>38</v>
      </c>
      <c r="F9" s="18">
        <v>0.03</v>
      </c>
      <c r="G9" s="19">
        <f>IF(COUNTIFS('ליקויים מהמערכת'!$G:$G,$B$1,'ליקויים מהמערכת'!$C:$C,REPLACE(E9,1,0,"ליקוי ל: "))=0,"",SUMIFS('ליקויים מהמערכת'!$H:$H,'ליקויים מהמערכת'!$G:$G,$B$1,'ליקויים מהמערכת'!$C:$C,REPLACE(E9,1,0,"ליקוי ל: "))/100/COUNTIFS('ליקויים מהמערכת'!$G:$G,$B$1,'ליקויים מהמערכת'!$C:$C,REPLACE(E9,1,0,"ליקוי ל: ")))</f>
        <v>0.75</v>
      </c>
      <c r="H9" s="20" t="str">
        <f t="shared" si="0"/>
        <v/>
      </c>
      <c r="I9" s="141"/>
      <c r="J9" s="21">
        <f>IFERROR(IF(G9="","",(F9+I$8/COUNT(G$8:G$9))*G9),F9*G9)</f>
        <v>2.2499999999999999E-2</v>
      </c>
      <c r="K9" s="138"/>
      <c r="L9" s="141"/>
      <c r="M9" s="138"/>
      <c r="N9" s="155"/>
      <c r="O9" s="138"/>
      <c r="P9" s="141"/>
      <c r="Q9" s="144"/>
      <c r="U9">
        <f>COUNTIFS('ליקויים מהמערכת'!$G:$G,$B$1,'ליקויים מהמערכת'!$C:$C,REPLACE(E9,1,0,"ליקוי ל: "))</f>
        <v>2</v>
      </c>
    </row>
    <row r="10" spans="1:21" ht="15" x14ac:dyDescent="0.25">
      <c r="A10" s="147"/>
      <c r="B10" s="150"/>
      <c r="C10" s="164" t="s">
        <v>10</v>
      </c>
      <c r="D10" s="161">
        <v>0.04</v>
      </c>
      <c r="E10" s="4" t="s">
        <v>123</v>
      </c>
      <c r="F10" s="22">
        <v>0.02</v>
      </c>
      <c r="G10" s="23" t="str">
        <f>IF(COUNTIFS('ליקויים מהמערכת'!$G:$G,$B$1,'ליקויים מהמערכת'!$C:$C,REPLACE(E10,1,0,"ליקוי ל: "))=0,"",SUMIFS('ליקויים מהמערכת'!$H:$H,'ליקויים מהמערכת'!$G:$G,$B$1,'ליקויים מהמערכת'!$C:$C,REPLACE(E10,1,0,"ליקוי ל: "))/100/COUNTIFS('ליקויים מהמערכת'!$G:$G,$B$1,'ליקויים מהמערכת'!$C:$C,REPLACE(E10,1,0,"ליקוי ל: ")))</f>
        <v/>
      </c>
      <c r="H10" s="20">
        <f t="shared" si="0"/>
        <v>0.02</v>
      </c>
      <c r="I10" s="141">
        <f>SUM(H10:H11)</f>
        <v>0.04</v>
      </c>
      <c r="J10" s="21" t="str">
        <f>IFERROR(IF(G10="","",(F10+I$10/COUNT(G$10:G$11))*G10),F10*G10)</f>
        <v/>
      </c>
      <c r="K10" s="141">
        <f>IF(COUNTBLANK(G10:G11)=COUNTA(F10:F11),D10,"")</f>
        <v>0.04</v>
      </c>
      <c r="L10" s="141"/>
      <c r="M10" s="138" t="str">
        <f>IF(K10="",1,"")</f>
        <v/>
      </c>
      <c r="N10" s="155">
        <f>SUM(J10:J11)/D10*L$4+SUM(J10:J11)</f>
        <v>0</v>
      </c>
      <c r="O10" s="138"/>
      <c r="P10" s="141"/>
      <c r="Q10" s="144"/>
      <c r="U10">
        <f>COUNTIFS('ליקויים מהמערכת'!$G:$G,$B$1,'ליקויים מהמערכת'!$C:$C,REPLACE(E10,1,0,"ליקוי ל: "))</f>
        <v>0</v>
      </c>
    </row>
    <row r="11" spans="1:21" ht="15.75" thickBot="1" x14ac:dyDescent="0.3">
      <c r="A11" s="148"/>
      <c r="B11" s="151"/>
      <c r="C11" s="170"/>
      <c r="D11" s="162"/>
      <c r="E11" s="8" t="s">
        <v>39</v>
      </c>
      <c r="F11" s="24">
        <v>0.02</v>
      </c>
      <c r="G11" s="25" t="str">
        <f>IF(COUNTIFS('ליקויים מהמערכת'!$G:$G,$B$1,'ליקויים מהמערכת'!$C:$C,REPLACE(E11,1,0,"ליקוי ל: "))=0,"",SUMIFS('ליקויים מהמערכת'!$H:$H,'ליקויים מהמערכת'!$G:$G,$B$1,'ליקויים מהמערכת'!$C:$C,REPLACE(E11,1,0,"ליקוי ל: "))/100/COUNTIFS('ליקויים מהמערכת'!$G:$G,$B$1,'ליקויים מהמערכת'!$C:$C,REPLACE(E11,1,0,"ליקוי ל: ")))</f>
        <v/>
      </c>
      <c r="H11" s="26">
        <f t="shared" si="0"/>
        <v>0.02</v>
      </c>
      <c r="I11" s="142"/>
      <c r="J11" s="27" t="str">
        <f>IFERROR(IF(G11="","",(F11+I$10/COUNT(G$10:G$11))*G11),F11*G11)</f>
        <v/>
      </c>
      <c r="K11" s="142"/>
      <c r="L11" s="142"/>
      <c r="M11" s="139"/>
      <c r="N11" s="156"/>
      <c r="O11" s="139"/>
      <c r="P11" s="142"/>
      <c r="Q11" s="145"/>
      <c r="U11">
        <f>COUNTIFS('ליקויים מהמערכת'!$G:$G,$B$1,'ליקויים מהמערכת'!$C:$C,REPLACE(E11,1,0,"ליקוי ל: "))</f>
        <v>0</v>
      </c>
    </row>
    <row r="12" spans="1:21" ht="30" x14ac:dyDescent="0.25">
      <c r="A12" s="146" t="s">
        <v>1</v>
      </c>
      <c r="B12" s="149">
        <v>0.36</v>
      </c>
      <c r="C12" s="163" t="s">
        <v>11</v>
      </c>
      <c r="D12" s="165">
        <v>0.22</v>
      </c>
      <c r="E12" s="7" t="s">
        <v>40</v>
      </c>
      <c r="F12" s="14">
        <v>0.03</v>
      </c>
      <c r="G12" s="15">
        <f>IF(COUNTIFS('ליקויים מהמערכת'!$G:$G,$B$1,'ליקויים מהמערכת'!$C:$C,REPLACE(E12,1,0,"ליקוי ל: "))=0,"",SUMIFS('ליקויים מהמערכת'!$H:$H,'ליקויים מהמערכת'!$G:$G,$B$1,'ליקויים מהמערכת'!$C:$C,REPLACE(E12,1,0,"ליקוי ל: "))/100/COUNTIFS('ליקויים מהמערכת'!$G:$G,$B$1,'ליקויים מהמערכת'!$C:$C,REPLACE(E12,1,0,"ליקוי ל: ")))</f>
        <v>1</v>
      </c>
      <c r="H12" s="16" t="str">
        <f t="shared" si="0"/>
        <v/>
      </c>
      <c r="I12" s="140">
        <f>SUM(H12:H20)</f>
        <v>0.12000000000000001</v>
      </c>
      <c r="J12" s="28">
        <f t="shared" ref="J12:J20" si="1">IFERROR(IF(G12="","",(F12+I$12/COUNT(G$12:G$20))*G12),F12*G12)</f>
        <v>0.06</v>
      </c>
      <c r="K12" s="140" t="str">
        <f>IF(COUNTBLANK(G12:G20)=COUNTA(F12:F20),D12,"")</f>
        <v/>
      </c>
      <c r="L12" s="140">
        <f>IFERROR(SUM(K12:K29)/SUM(M12:M29),0)</f>
        <v>5.5E-2</v>
      </c>
      <c r="M12" s="137">
        <f>IF(K12="",1,"")</f>
        <v>1</v>
      </c>
      <c r="N12" s="157">
        <f>SUM(J12:J20)/D12*L12+SUM(J12:J20)</f>
        <v>0.21249999999999997</v>
      </c>
      <c r="O12" s="158">
        <f>IF(L12&gt;0,1,IF(SUM(M12:M29)=6,1,""))</f>
        <v>1</v>
      </c>
      <c r="P12" s="140" t="str">
        <f>IF(O12="",B12,"")</f>
        <v/>
      </c>
      <c r="Q12" s="143">
        <f>SUM(P4:P48)/SUM(O4:O48)*(SUM(N12:N29)/B12)+SUM(N12:N29)</f>
        <v>0.28136574074074072</v>
      </c>
      <c r="U12">
        <f>COUNTIFS('ליקויים מהמערכת'!$G:$G,$B$1,'ליקויים מהמערכת'!$C:$C,REPLACE(E12,1,0,"ליקוי ל: "))</f>
        <v>1</v>
      </c>
    </row>
    <row r="13" spans="1:21" ht="15" x14ac:dyDescent="0.25">
      <c r="A13" s="147"/>
      <c r="B13" s="150"/>
      <c r="C13" s="164"/>
      <c r="D13" s="161"/>
      <c r="E13" s="4" t="s">
        <v>41</v>
      </c>
      <c r="F13" s="18">
        <v>0.03</v>
      </c>
      <c r="G13" s="23" t="str">
        <f>IF(COUNTIFS('ליקויים מהמערכת'!$G:$G,$B$1,'ליקויים מהמערכת'!$C:$C,REPLACE(E13,1,0,"ליקוי ל: "))=0,"",SUMIFS('ליקויים מהמערכת'!$H:$H,'ליקויים מהמערכת'!$G:$G,$B$1,'ליקויים מהמערכת'!$C:$C,REPLACE(E13,1,0,"ליקוי ל: "))/100/COUNTIFS('ליקויים מהמערכת'!$G:$G,$B$1,'ליקויים מהמערכת'!$C:$C,REPLACE(E13,1,0,"ליקוי ל: ")))</f>
        <v/>
      </c>
      <c r="H13" s="20">
        <f t="shared" si="0"/>
        <v>0.03</v>
      </c>
      <c r="I13" s="141"/>
      <c r="J13" s="29" t="str">
        <f t="shared" si="1"/>
        <v/>
      </c>
      <c r="K13" s="141"/>
      <c r="L13" s="141"/>
      <c r="M13" s="138"/>
      <c r="N13" s="155"/>
      <c r="O13" s="159"/>
      <c r="P13" s="141"/>
      <c r="Q13" s="144"/>
      <c r="U13">
        <f>COUNTIFS('ליקויים מהמערכת'!$G:$G,$B$1,'ליקויים מהמערכת'!$C:$C,REPLACE(E13,1,0,"ליקוי ל: "))</f>
        <v>0</v>
      </c>
    </row>
    <row r="14" spans="1:21" ht="30" x14ac:dyDescent="0.25">
      <c r="A14" s="147"/>
      <c r="B14" s="150"/>
      <c r="C14" s="164"/>
      <c r="D14" s="161"/>
      <c r="E14" s="4" t="s">
        <v>42</v>
      </c>
      <c r="F14" s="18">
        <v>0.03</v>
      </c>
      <c r="G14" s="23" t="str">
        <f>IF(COUNTIFS('ליקויים מהמערכת'!$G:$G,$B$1,'ליקויים מהמערכת'!$C:$C,REPLACE(E14,1,0,"ליקוי ל: "))=0,"",SUMIFS('ליקויים מהמערכת'!$H:$H,'ליקויים מהמערכת'!$G:$G,$B$1,'ליקויים מהמערכת'!$C:$C,REPLACE(E14,1,0,"ליקוי ל: "))/100/COUNTIFS('ליקויים מהמערכת'!$G:$G,$B$1,'ליקויים מהמערכת'!$C:$C,REPLACE(E14,1,0,"ליקוי ל: ")))</f>
        <v/>
      </c>
      <c r="H14" s="20">
        <f t="shared" si="0"/>
        <v>0.03</v>
      </c>
      <c r="I14" s="141"/>
      <c r="J14" s="29" t="str">
        <f t="shared" si="1"/>
        <v/>
      </c>
      <c r="K14" s="141"/>
      <c r="L14" s="141"/>
      <c r="M14" s="138"/>
      <c r="N14" s="155"/>
      <c r="O14" s="159"/>
      <c r="P14" s="141"/>
      <c r="Q14" s="144"/>
      <c r="U14">
        <f>COUNTIFS('ליקויים מהמערכת'!$G:$G,$B$1,'ליקויים מהמערכת'!$C:$C,REPLACE(E14,1,0,"ליקוי ל: "))</f>
        <v>0</v>
      </c>
    </row>
    <row r="15" spans="1:21" ht="29.25" x14ac:dyDescent="0.2">
      <c r="A15" s="147"/>
      <c r="B15" s="150"/>
      <c r="C15" s="164"/>
      <c r="D15" s="161"/>
      <c r="E15" s="5" t="s">
        <v>45</v>
      </c>
      <c r="F15" s="22">
        <v>0.03</v>
      </c>
      <c r="G15" s="23">
        <f>IF(COUNTIFS('ליקויים מהמערכת'!$G:$G,$B$1,'ליקויים מהמערכת'!$C:$C,REPLACE(E15,1,0,"ליקוי ל: "))=0,"",SUMIFS('ליקויים מהמערכת'!$H:$H,'ליקויים מהמערכת'!$G:$G,$B$1,'ליקויים מהמערכת'!$C:$C,REPLACE(E15,1,0,"ליקוי ל: "))/100/COUNTIFS('ליקויים מהמערכת'!$G:$G,$B$1,'ליקויים מהמערכת'!$C:$C,REPLACE(E15,1,0,"ליקוי ל: ")))</f>
        <v>1</v>
      </c>
      <c r="H15" s="20" t="str">
        <f t="shared" si="0"/>
        <v/>
      </c>
      <c r="I15" s="141"/>
      <c r="J15" s="29">
        <f t="shared" si="1"/>
        <v>0.06</v>
      </c>
      <c r="K15" s="141"/>
      <c r="L15" s="141"/>
      <c r="M15" s="138"/>
      <c r="N15" s="155"/>
      <c r="O15" s="159"/>
      <c r="P15" s="141"/>
      <c r="Q15" s="144"/>
      <c r="U15">
        <f>COUNTIFS('ליקויים מהמערכת'!$G:$G,$B$1,'ליקויים מהמערכת'!$C:$C,REPLACE(E15,1,0,"ליקוי ל: "))</f>
        <v>1</v>
      </c>
    </row>
    <row r="16" spans="1:21" ht="30" x14ac:dyDescent="0.25">
      <c r="A16" s="147"/>
      <c r="B16" s="150"/>
      <c r="C16" s="164"/>
      <c r="D16" s="161"/>
      <c r="E16" s="4" t="s">
        <v>154</v>
      </c>
      <c r="F16" s="22">
        <v>0.02</v>
      </c>
      <c r="G16" s="23">
        <f>IF(COUNTIFS('ליקויים מהמערכת'!$G:$G,$B$1,'ליקויים מהמערכת'!$C:$C,REPLACE(E16,1,0,"ליקוי ל: "))=0,"",SUMIFS('ליקויים מהמערכת'!$H:$H,'ליקויים מהמערכת'!$G:$G,$B$1,'ליקויים מהמערכת'!$C:$C,REPLACE(E16,1,0,"ליקוי ל: "))/100/COUNTIFS('ליקויים מהמערכת'!$G:$G,$B$1,'ליקויים מהמערכת'!$C:$C,REPLACE(E16,1,0,"ליקוי ל: ")))</f>
        <v>0</v>
      </c>
      <c r="H16" s="20" t="str">
        <f t="shared" si="0"/>
        <v/>
      </c>
      <c r="I16" s="141"/>
      <c r="J16" s="29">
        <f t="shared" si="1"/>
        <v>0</v>
      </c>
      <c r="K16" s="141"/>
      <c r="L16" s="141"/>
      <c r="M16" s="138"/>
      <c r="N16" s="155"/>
      <c r="O16" s="159"/>
      <c r="P16" s="141"/>
      <c r="Q16" s="144"/>
      <c r="U16">
        <f>COUNTIFS('ליקויים מהמערכת'!$G:$G,$B$1,'ליקויים מהמערכת'!$C:$C,REPLACE(E16,1,0,"ליקוי ל: "))</f>
        <v>1</v>
      </c>
    </row>
    <row r="17" spans="1:21" ht="30" x14ac:dyDescent="0.25">
      <c r="A17" s="147"/>
      <c r="B17" s="150"/>
      <c r="C17" s="164"/>
      <c r="D17" s="161"/>
      <c r="E17" s="5" t="s">
        <v>46</v>
      </c>
      <c r="F17" s="22">
        <v>0.02</v>
      </c>
      <c r="G17" s="23">
        <f>IF(COUNTIFS('ליקויים מהמערכת'!$G:$G,$B$1,'ליקויים מהמערכת'!$C:$C,REPLACE(E17,1,0,"ליקוי ל: "))=0,"",SUMIFS('ליקויים מהמערכת'!$H:$H,'ליקויים מהמערכת'!$G:$G,$B$1,'ליקויים מהמערכת'!$C:$C,REPLACE(E17,1,0,"ליקוי ל: "))/100/COUNTIFS('ליקויים מהמערכת'!$G:$G,$B$1,'ליקויים מהמערכת'!$C:$C,REPLACE(E17,1,0,"ליקוי ל: ")))</f>
        <v>1</v>
      </c>
      <c r="H17" s="20" t="str">
        <f t="shared" si="0"/>
        <v/>
      </c>
      <c r="I17" s="141"/>
      <c r="J17" s="29">
        <f t="shared" si="1"/>
        <v>0.05</v>
      </c>
      <c r="K17" s="141"/>
      <c r="L17" s="141"/>
      <c r="M17" s="138"/>
      <c r="N17" s="155"/>
      <c r="O17" s="159"/>
      <c r="P17" s="141"/>
      <c r="Q17" s="144"/>
      <c r="U17">
        <f>COUNTIFS('ליקויים מהמערכת'!$G:$G,$B$1,'ליקויים מהמערכת'!$C:$C,REPLACE(E17,1,0,"ליקוי ל: "))</f>
        <v>1</v>
      </c>
    </row>
    <row r="18" spans="1:21" ht="15" x14ac:dyDescent="0.25">
      <c r="A18" s="147"/>
      <c r="B18" s="150"/>
      <c r="C18" s="164"/>
      <c r="D18" s="161"/>
      <c r="E18" s="5" t="s">
        <v>47</v>
      </c>
      <c r="F18" s="22">
        <v>0.02</v>
      </c>
      <c r="G18" s="23" t="str">
        <f>IF(COUNTIFS('ליקויים מהמערכת'!$G:$G,$B$1,'ליקויים מהמערכת'!$C:$C,REPLACE(E18,1,0,"ליקוי ל: "))=0,"",SUMIFS('ליקויים מהמערכת'!$H:$H,'ליקויים מהמערכת'!$G:$G,$B$1,'ליקויים מהמערכת'!$C:$C,REPLACE(E18,1,0,"ליקוי ל: "))/100/COUNTIFS('ליקויים מהמערכת'!$G:$G,$B$1,'ליקויים מהמערכת'!$C:$C,REPLACE(E18,1,0,"ליקוי ל: ")))</f>
        <v/>
      </c>
      <c r="H18" s="20">
        <f t="shared" si="0"/>
        <v>0.02</v>
      </c>
      <c r="I18" s="141"/>
      <c r="J18" s="29" t="str">
        <f t="shared" si="1"/>
        <v/>
      </c>
      <c r="K18" s="141"/>
      <c r="L18" s="141"/>
      <c r="M18" s="138"/>
      <c r="N18" s="155"/>
      <c r="O18" s="159"/>
      <c r="P18" s="141"/>
      <c r="Q18" s="144"/>
      <c r="U18">
        <f>COUNTIFS('ליקויים מהמערכת'!$G:$G,$B$1,'ליקויים מהמערכת'!$C:$C,REPLACE(E18,1,0,"ליקוי ל: "))</f>
        <v>0</v>
      </c>
    </row>
    <row r="19" spans="1:21" ht="15" x14ac:dyDescent="0.25">
      <c r="A19" s="147"/>
      <c r="B19" s="150"/>
      <c r="C19" s="164"/>
      <c r="D19" s="161"/>
      <c r="E19" s="5" t="s">
        <v>48</v>
      </c>
      <c r="F19" s="22">
        <v>0.02</v>
      </c>
      <c r="G19" s="23" t="str">
        <f>IF(COUNTIFS('ליקויים מהמערכת'!$G:$G,$B$1,'ליקויים מהמערכת'!$C:$C,REPLACE(E19,1,0,"ליקוי ל: "))=0,"",SUMIFS('ליקויים מהמערכת'!$H:$H,'ליקויים מהמערכת'!$G:$G,$B$1,'ליקויים מהמערכת'!$C:$C,REPLACE(E19,1,0,"ליקוי ל: "))/100/COUNTIFS('ליקויים מהמערכת'!$G:$G,$B$1,'ליקויים מהמערכת'!$C:$C,REPLACE(E19,1,0,"ליקוי ל: ")))</f>
        <v/>
      </c>
      <c r="H19" s="20">
        <f t="shared" si="0"/>
        <v>0.02</v>
      </c>
      <c r="I19" s="141"/>
      <c r="J19" s="29" t="str">
        <f t="shared" si="1"/>
        <v/>
      </c>
      <c r="K19" s="141"/>
      <c r="L19" s="141"/>
      <c r="M19" s="138"/>
      <c r="N19" s="155"/>
      <c r="O19" s="159"/>
      <c r="P19" s="141"/>
      <c r="Q19" s="144"/>
      <c r="U19">
        <f>COUNTIFS('ליקויים מהמערכת'!$G:$G,$B$1,'ליקויים מהמערכת'!$C:$C,REPLACE(E19,1,0,"ליקוי ל: "))</f>
        <v>0</v>
      </c>
    </row>
    <row r="20" spans="1:21" ht="30" x14ac:dyDescent="0.25">
      <c r="A20" s="147"/>
      <c r="B20" s="150"/>
      <c r="C20" s="164"/>
      <c r="D20" s="161"/>
      <c r="E20" s="4" t="s">
        <v>124</v>
      </c>
      <c r="F20" s="22">
        <v>0.02</v>
      </c>
      <c r="G20" s="23" t="str">
        <f>IF(COUNTIFS('ליקויים מהמערכת'!$G:$G,$B$1,'ליקויים מהמערכת'!$C:$C,REPLACE(E20,1,0,"ליקוי ל: "))=0,"",SUMIFS('ליקויים מהמערכת'!$H:$H,'ליקויים מהמערכת'!$G:$G,$B$1,'ליקויים מהמערכת'!$C:$C,REPLACE(E20,1,0,"ליקוי ל: "))/100/COUNTIFS('ליקויים מהמערכת'!$G:$G,$B$1,'ליקויים מהמערכת'!$C:$C,REPLACE(E20,1,0,"ליקוי ל: ")))</f>
        <v/>
      </c>
      <c r="H20" s="20">
        <f t="shared" si="0"/>
        <v>0.02</v>
      </c>
      <c r="I20" s="141"/>
      <c r="J20" s="29" t="str">
        <f t="shared" si="1"/>
        <v/>
      </c>
      <c r="K20" s="141"/>
      <c r="L20" s="141"/>
      <c r="M20" s="138"/>
      <c r="N20" s="155"/>
      <c r="O20" s="159"/>
      <c r="P20" s="141"/>
      <c r="Q20" s="144"/>
      <c r="U20">
        <f>COUNTIFS('ליקויים מהמערכת'!$G:$G,$B$1,'ליקויים מהמערכת'!$C:$C,REPLACE(E20,1,0,"ליקוי ל: "))</f>
        <v>0</v>
      </c>
    </row>
    <row r="21" spans="1:21" ht="30" x14ac:dyDescent="0.25">
      <c r="A21" s="147"/>
      <c r="B21" s="150"/>
      <c r="C21" s="164" t="s">
        <v>12</v>
      </c>
      <c r="D21" s="161">
        <v>0.04</v>
      </c>
      <c r="E21" s="5" t="s">
        <v>49</v>
      </c>
      <c r="F21" s="22">
        <v>0.02</v>
      </c>
      <c r="G21" s="23" t="str">
        <f>IF(COUNTIFS('ליקויים מהמערכת'!$G:$G,$B$1,'ליקויים מהמערכת'!$C:$C,REPLACE(E21,1,0,"ליקוי ל: "))=0,"",SUMIFS('ליקויים מהמערכת'!$H:$H,'ליקויים מהמערכת'!$G:$G,$B$1,'ליקויים מהמערכת'!$C:$C,REPLACE(E21,1,0,"ליקוי ל: "))/100/COUNTIFS('ליקויים מהמערכת'!$G:$G,$B$1,'ליקויים מהמערכת'!$C:$C,REPLACE(E21,1,0,"ליקוי ל: ")))</f>
        <v/>
      </c>
      <c r="H21" s="20">
        <f t="shared" si="0"/>
        <v>0.02</v>
      </c>
      <c r="I21" s="141">
        <f>SUM(H21:H22)</f>
        <v>0.04</v>
      </c>
      <c r="J21" s="29" t="str">
        <f>IFERROR(IF(G21="","",(F21+I$21/COUNT(G$21:G$22))*G21),F21*G21)</f>
        <v/>
      </c>
      <c r="K21" s="141">
        <f>IF(COUNTBLANK(G21:G22)=COUNTA(F21:F22),D21,"")</f>
        <v>0.04</v>
      </c>
      <c r="L21" s="141"/>
      <c r="M21" s="138" t="str">
        <f>IF(K21="",1,"")</f>
        <v/>
      </c>
      <c r="N21" s="155">
        <f>SUM(J21:J22)/D21*L12+SUM(J21:J22)</f>
        <v>0</v>
      </c>
      <c r="O21" s="159"/>
      <c r="P21" s="141"/>
      <c r="Q21" s="144"/>
      <c r="U21">
        <f>COUNTIFS('ליקויים מהמערכת'!$G:$G,$B$1,'ליקויים מהמערכת'!$C:$C,REPLACE(E21,1,0,"ליקוי ל: "))</f>
        <v>0</v>
      </c>
    </row>
    <row r="22" spans="1:21" ht="15" x14ac:dyDescent="0.25">
      <c r="A22" s="147"/>
      <c r="B22" s="150"/>
      <c r="C22" s="164"/>
      <c r="D22" s="161"/>
      <c r="E22" s="4" t="s">
        <v>125</v>
      </c>
      <c r="F22" s="22">
        <v>0.02</v>
      </c>
      <c r="G22" s="23" t="str">
        <f>IF(COUNTIFS('ליקויים מהמערכת'!$G:$G,$B$1,'ליקויים מהמערכת'!$C:$C,REPLACE(E22,1,0,"ליקוי ל: "))=0,"",SUMIFS('ליקויים מהמערכת'!$H:$H,'ליקויים מהמערכת'!$G:$G,$B$1,'ליקויים מהמערכת'!$C:$C,REPLACE(E22,1,0,"ליקוי ל: "))/100/COUNTIFS('ליקויים מהמערכת'!$G:$G,$B$1,'ליקויים מהמערכת'!$C:$C,REPLACE(E22,1,0,"ליקוי ל: ")))</f>
        <v/>
      </c>
      <c r="H22" s="20">
        <f t="shared" si="0"/>
        <v>0.02</v>
      </c>
      <c r="I22" s="141"/>
      <c r="J22" s="29" t="str">
        <f>IFERROR(IF(G22="","",(F22+I$21/COUNT(G$21:G$22))*G22),F22*G22)</f>
        <v/>
      </c>
      <c r="K22" s="141"/>
      <c r="L22" s="141"/>
      <c r="M22" s="138"/>
      <c r="N22" s="155"/>
      <c r="O22" s="159"/>
      <c r="P22" s="141"/>
      <c r="Q22" s="144"/>
      <c r="U22">
        <f>COUNTIFS('ליקויים מהמערכת'!$G:$G,$B$1,'ליקויים מהמערכת'!$C:$C,REPLACE(E22,1,0,"ליקוי ל: "))</f>
        <v>0</v>
      </c>
    </row>
    <row r="23" spans="1:21" ht="30" x14ac:dyDescent="0.25">
      <c r="A23" s="147"/>
      <c r="B23" s="150"/>
      <c r="C23" s="6" t="s">
        <v>13</v>
      </c>
      <c r="D23" s="54">
        <v>0.02</v>
      </c>
      <c r="E23" s="4" t="s">
        <v>43</v>
      </c>
      <c r="F23" s="18">
        <v>0.02</v>
      </c>
      <c r="G23" s="23" t="str">
        <f>IF(COUNTIFS('ליקויים מהמערכת'!$G:$G,$B$1,'ליקויים מהמערכת'!$C:$C,REPLACE(E23,1,0,"ליקוי ל: "))=0,"",SUMIFS('ליקויים מהמערכת'!$H:$H,'ליקויים מהמערכת'!$G:$G,$B$1,'ליקויים מהמערכת'!$C:$C,REPLACE(E23,1,0,"ליקוי ל: "))/100/COUNTIFS('ליקויים מהמערכת'!$G:$G,$B$1,'ליקויים מהמערכת'!$C:$C,REPLACE(E23,1,0,"ליקוי ל: ")))</f>
        <v/>
      </c>
      <c r="H23" s="20">
        <f t="shared" si="0"/>
        <v>0.02</v>
      </c>
      <c r="I23" s="20">
        <f>H23</f>
        <v>0.02</v>
      </c>
      <c r="J23" s="29" t="str">
        <f>IF(G23="","",F23*G23)</f>
        <v/>
      </c>
      <c r="K23" s="20">
        <f>H23</f>
        <v>0.02</v>
      </c>
      <c r="L23" s="141"/>
      <c r="M23" s="30" t="str">
        <f>IF(K23="",1,"")</f>
        <v/>
      </c>
      <c r="N23" s="29">
        <f>SUM(J23)/D23*L12+SUM(J23)</f>
        <v>0</v>
      </c>
      <c r="O23" s="159"/>
      <c r="P23" s="141"/>
      <c r="Q23" s="144"/>
      <c r="U23">
        <f>COUNTIFS('ליקויים מהמערכת'!$G:$G,$B$1,'ליקויים מהמערכת'!$C:$C,REPLACE(E23,1,0,"ליקוי ל: "))</f>
        <v>0</v>
      </c>
    </row>
    <row r="24" spans="1:21" ht="15" x14ac:dyDescent="0.25">
      <c r="A24" s="147"/>
      <c r="B24" s="150"/>
      <c r="C24" s="6" t="s">
        <v>14</v>
      </c>
      <c r="D24" s="54">
        <v>0.02</v>
      </c>
      <c r="E24" s="4" t="s">
        <v>126</v>
      </c>
      <c r="F24" s="22">
        <v>0.02</v>
      </c>
      <c r="G24" s="23" t="str">
        <f>IF(COUNTIFS('ליקויים מהמערכת'!$G:$G,$B$1,'ליקויים מהמערכת'!$C:$C,REPLACE(E24,1,0,"ליקוי ל: "))=0,"",SUMIFS('ליקויים מהמערכת'!$H:$H,'ליקויים מהמערכת'!$G:$G,$B$1,'ליקויים מהמערכת'!$C:$C,REPLACE(E24,1,0,"ליקוי ל: "))/100/COUNTIFS('ליקויים מהמערכת'!$G:$G,$B$1,'ליקויים מהמערכת'!$C:$C,REPLACE(E24,1,0,"ליקוי ל: ")))</f>
        <v/>
      </c>
      <c r="H24" s="20">
        <f t="shared" si="0"/>
        <v>0.02</v>
      </c>
      <c r="I24" s="20">
        <f>H24</f>
        <v>0.02</v>
      </c>
      <c r="J24" s="29" t="str">
        <f>IF(G24="","",F24*G24)</f>
        <v/>
      </c>
      <c r="K24" s="20">
        <f>H24</f>
        <v>0.02</v>
      </c>
      <c r="L24" s="141"/>
      <c r="M24" s="30" t="str">
        <f>IF(K24="",1,"")</f>
        <v/>
      </c>
      <c r="N24" s="29">
        <f>SUM(J24)/D24*L12+SUM(J24)</f>
        <v>0</v>
      </c>
      <c r="O24" s="159"/>
      <c r="P24" s="141"/>
      <c r="Q24" s="144"/>
      <c r="U24">
        <f>COUNTIFS('ליקויים מהמערכת'!$G:$G,$B$1,'ליקויים מהמערכת'!$C:$C,REPLACE(E24,1,0,"ליקוי ל: "))</f>
        <v>0</v>
      </c>
    </row>
    <row r="25" spans="1:21" ht="15" x14ac:dyDescent="0.25">
      <c r="A25" s="147"/>
      <c r="B25" s="150"/>
      <c r="C25" s="164" t="s">
        <v>15</v>
      </c>
      <c r="D25" s="161">
        <v>0.03</v>
      </c>
      <c r="E25" s="5" t="s">
        <v>127</v>
      </c>
      <c r="F25" s="22">
        <v>0.02</v>
      </c>
      <c r="G25" s="23" t="str">
        <f>IF(COUNTIFS('ליקויים מהמערכת'!$G:$G,$B$1,'ליקויים מהמערכת'!$C:$C,REPLACE(E25,1,0,"ליקוי ל: "))=0,"",SUMIFS('ליקויים מהמערכת'!$H:$H,'ליקויים מהמערכת'!$G:$G,$B$1,'ליקויים מהמערכת'!$C:$C,REPLACE(E25,1,0,"ליקוי ל: "))/100/COUNTIFS('ליקויים מהמערכת'!$G:$G,$B$1,'ליקויים מהמערכת'!$C:$C,REPLACE(E25,1,0,"ליקוי ל: ")))</f>
        <v/>
      </c>
      <c r="H25" s="20">
        <f t="shared" si="0"/>
        <v>0.02</v>
      </c>
      <c r="I25" s="141">
        <f>SUM(H25:H26)</f>
        <v>0.03</v>
      </c>
      <c r="J25" s="29" t="str">
        <f>IFERROR(IF(G25="","",(F25+I$25/COUNT(G$25:G$26))*G25),F25*G25)</f>
        <v/>
      </c>
      <c r="K25" s="141">
        <f>IF(COUNTBLANK(G25:G26)=COUNTA(F25:F26),D25,"")</f>
        <v>0.03</v>
      </c>
      <c r="L25" s="141"/>
      <c r="M25" s="138" t="str">
        <f>IF(K25="",1,"")</f>
        <v/>
      </c>
      <c r="N25" s="155">
        <f>SUM(J25:J26)/D25*L12+SUM(J25:J26)</f>
        <v>0</v>
      </c>
      <c r="O25" s="159"/>
      <c r="P25" s="141"/>
      <c r="Q25" s="144"/>
      <c r="U25">
        <f>COUNTIFS('ליקויים מהמערכת'!$G:$G,$B$1,'ליקויים מהמערכת'!$C:$C,REPLACE(E25,1,0,"ליקוי ל: "))</f>
        <v>0</v>
      </c>
    </row>
    <row r="26" spans="1:21" ht="30" x14ac:dyDescent="0.25">
      <c r="A26" s="147"/>
      <c r="B26" s="150"/>
      <c r="C26" s="164"/>
      <c r="D26" s="161"/>
      <c r="E26" s="5" t="s">
        <v>50</v>
      </c>
      <c r="F26" s="22">
        <v>0.01</v>
      </c>
      <c r="G26" s="23" t="str">
        <f>IF(COUNTIFS('ליקויים מהמערכת'!$G:$G,$B$1,'ליקויים מהמערכת'!$C:$C,REPLACE(E26,1,0,"ליקוי ל: "))=0,"",SUMIFS('ליקויים מהמערכת'!$H:$H,'ליקויים מהמערכת'!$G:$G,$B$1,'ליקויים מהמערכת'!$C:$C,REPLACE(E26,1,0,"ליקוי ל: "))/100/COUNTIFS('ליקויים מהמערכת'!$G:$G,$B$1,'ליקויים מהמערכת'!$C:$C,REPLACE(E26,1,0,"ליקוי ל: ")))</f>
        <v/>
      </c>
      <c r="H26" s="20">
        <f t="shared" si="0"/>
        <v>0.01</v>
      </c>
      <c r="I26" s="141"/>
      <c r="J26" s="29" t="str">
        <f>IFERROR(IF(G26="","",(F26+I$25/COUNT(G$25:G$26))*G26),F26*G26)</f>
        <v/>
      </c>
      <c r="K26" s="141"/>
      <c r="L26" s="141"/>
      <c r="M26" s="138"/>
      <c r="N26" s="155"/>
      <c r="O26" s="159"/>
      <c r="P26" s="141"/>
      <c r="Q26" s="144"/>
      <c r="U26">
        <f>COUNTIFS('ליקויים מהמערכת'!$G:$G,$B$1,'ליקויים מהמערכת'!$C:$C,REPLACE(E26,1,0,"ליקוי ל: "))</f>
        <v>0</v>
      </c>
    </row>
    <row r="27" spans="1:21" ht="15" x14ac:dyDescent="0.25">
      <c r="A27" s="147"/>
      <c r="B27" s="150"/>
      <c r="C27" s="153" t="s">
        <v>16</v>
      </c>
      <c r="D27" s="150">
        <v>0.03</v>
      </c>
      <c r="E27" s="4" t="s">
        <v>146</v>
      </c>
      <c r="F27" s="22">
        <v>0.01</v>
      </c>
      <c r="G27" s="23">
        <f>IF(COUNTIFS('ליקויים מהמערכת'!$G:$G,$B$1,'ליקויים מהמערכת'!$C:$C,REPLACE(E27,1,0,"ליקוי ל: "))=0,"",SUMIFS('ליקויים מהמערכת'!$H:$H,'ליקויים מהמערכת'!$G:$G,$B$1,'ליקויים מהמערכת'!$C:$C,REPLACE(E27,1,0,"ליקוי ל: "))/100/COUNTIFS('ליקויים מהמערכת'!$G:$G,$B$1,'ליקויים מהמערכת'!$C:$C,REPLACE(E27,1,0,"ליקוי ל: ")))</f>
        <v>0.5</v>
      </c>
      <c r="H27" s="20" t="str">
        <f t="shared" si="0"/>
        <v/>
      </c>
      <c r="I27" s="141">
        <f>SUM(H27:H29)</f>
        <v>0.01</v>
      </c>
      <c r="J27" s="29">
        <f>IFERROR(IF(G27="","",(F27+I$27/COUNT(G$27:G$29))*G27),F27*G27)</f>
        <v>7.4999999999999997E-3</v>
      </c>
      <c r="K27" s="141" t="str">
        <f>IF(COUNTBLANK(G27:G29)=COUNTA(F27:F29),D27,"")</f>
        <v/>
      </c>
      <c r="L27" s="141"/>
      <c r="M27" s="138">
        <f>IF(K27="",1,"")</f>
        <v>1</v>
      </c>
      <c r="N27" s="155">
        <f>SUM(J27:J29)/D27*L12+SUM(J27:J29)</f>
        <v>6.3750000000000001E-2</v>
      </c>
      <c r="O27" s="159"/>
      <c r="P27" s="141"/>
      <c r="Q27" s="144"/>
      <c r="U27">
        <f>COUNTIFS('ליקויים מהמערכת'!$G:$G,$B$1,'ליקויים מהמערכת'!$C:$C,REPLACE(E27,1,0,"ליקוי ל: "))</f>
        <v>2</v>
      </c>
    </row>
    <row r="28" spans="1:21" ht="15" x14ac:dyDescent="0.25">
      <c r="A28" s="147"/>
      <c r="B28" s="150"/>
      <c r="C28" s="153"/>
      <c r="D28" s="150"/>
      <c r="E28" s="4" t="s">
        <v>145</v>
      </c>
      <c r="F28" s="22">
        <v>0.01</v>
      </c>
      <c r="G28" s="23">
        <f>IF(COUNTIFS('ליקויים מהמערכת'!$G:$G,$B$1,'ליקויים מהמערכת'!$C:$C,REPLACE(E28,1,0,"ליקוי ל: "))=0,"",SUMIFS('ליקויים מהמערכת'!$H:$H,'ליקויים מהמערכת'!$G:$G,$B$1,'ליקויים מהמערכת'!$C:$C,REPLACE(E28,1,0,"ליקוי ל: "))/100/COUNTIFS('ליקויים מהמערכת'!$G:$G,$B$1,'ליקויים מהמערכת'!$C:$C,REPLACE(E28,1,0,"ליקוי ל: ")))</f>
        <v>1</v>
      </c>
      <c r="H28" s="20" t="str">
        <f t="shared" si="0"/>
        <v/>
      </c>
      <c r="I28" s="141"/>
      <c r="J28" s="29">
        <f>IFERROR(IF(G28="","",(F28+I$27/COUNT(G$27:G$29))*G28),F28*G28)</f>
        <v>1.4999999999999999E-2</v>
      </c>
      <c r="K28" s="141"/>
      <c r="L28" s="141"/>
      <c r="M28" s="138"/>
      <c r="N28" s="155"/>
      <c r="O28" s="159"/>
      <c r="P28" s="141"/>
      <c r="Q28" s="144"/>
      <c r="U28">
        <f>COUNTIFS('ליקויים מהמערכת'!$G:$G,$B$1,'ליקויים מהמערכת'!$C:$C,REPLACE(E28,1,0,"ליקוי ל: "))</f>
        <v>2</v>
      </c>
    </row>
    <row r="29" spans="1:21" ht="15.75" thickBot="1" x14ac:dyDescent="0.3">
      <c r="A29" s="148"/>
      <c r="B29" s="151"/>
      <c r="C29" s="154"/>
      <c r="D29" s="151"/>
      <c r="E29" s="8" t="s">
        <v>128</v>
      </c>
      <c r="F29" s="24">
        <v>0.01</v>
      </c>
      <c r="G29" s="31" t="str">
        <f>IF(COUNTIFS('ליקויים מהמערכת'!$G:$G,$B$1,'ליקויים מהמערכת'!$C:$C,REPLACE(E29,1,0,"ליקוי ל: "))=0,"",SUMIFS('ליקויים מהמערכת'!$H:$H,'ליקויים מהמערכת'!$G:$G,$B$1,'ליקויים מהמערכת'!$C:$C,REPLACE(E29,1,0,"ליקוי ל: "))/100/COUNTIFS('ליקויים מהמערכת'!$G:$G,$B$1,'ליקויים מהמערכת'!$C:$C,REPLACE(E29,1,0,"ליקוי ל: ")))</f>
        <v/>
      </c>
      <c r="H29" s="26">
        <f t="shared" si="0"/>
        <v>0.01</v>
      </c>
      <c r="I29" s="142"/>
      <c r="J29" s="32" t="str">
        <f>IFERROR(IF(G29="","",(F29+I$27/COUNT(G$27:G$29))*G29),F29*G29)</f>
        <v/>
      </c>
      <c r="K29" s="142"/>
      <c r="L29" s="142"/>
      <c r="M29" s="139"/>
      <c r="N29" s="156"/>
      <c r="O29" s="160"/>
      <c r="P29" s="142"/>
      <c r="Q29" s="145"/>
      <c r="U29">
        <f>COUNTIFS('ליקויים מהמערכת'!$G:$G,$B$1,'ליקויים מהמערכת'!$C:$C,REPLACE(E29,1,0,"ליקוי ל: "))</f>
        <v>0</v>
      </c>
    </row>
    <row r="30" spans="1:21" ht="30" x14ac:dyDescent="0.25">
      <c r="A30" s="146" t="s">
        <v>2</v>
      </c>
      <c r="B30" s="149">
        <v>0.08</v>
      </c>
      <c r="C30" s="42" t="s">
        <v>17</v>
      </c>
      <c r="D30" s="55">
        <v>0.02</v>
      </c>
      <c r="E30" s="7" t="s">
        <v>129</v>
      </c>
      <c r="F30" s="33">
        <v>0.02</v>
      </c>
      <c r="G30" s="34" t="str">
        <f>IF(COUNTIFS('ליקויים מהמערכת'!$G:$G,$B$1,'ליקויים מהמערכת'!$C:$C,REPLACE(E30,1,0,"ליקוי ל: "))=0,"",SUMIFS('ליקויים מהמערכת'!$H:$H,'ליקויים מהמערכת'!$G:$G,$B$1,'ליקויים מהמערכת'!$C:$C,REPLACE(E30,1,0,"ליקוי ל: "))/100/COUNTIFS('ליקויים מהמערכת'!$G:$G,$B$1,'ליקויים מהמערכת'!$C:$C,REPLACE(E30,1,0,"ליקוי ל: ")))</f>
        <v/>
      </c>
      <c r="H30" s="16">
        <f t="shared" si="0"/>
        <v>0.02</v>
      </c>
      <c r="I30" s="16">
        <f t="shared" ref="I30:I48" si="2">H30</f>
        <v>0.02</v>
      </c>
      <c r="J30" s="28" t="str">
        <f t="shared" ref="J30:J48" si="3">IF(G30="","",F30*G30)</f>
        <v/>
      </c>
      <c r="K30" s="16">
        <f t="shared" ref="K30:K48" si="4">H30</f>
        <v>0.02</v>
      </c>
      <c r="L30" s="140">
        <f>IFERROR(SUM(K30:K33)/SUM(M30:M33),0)</f>
        <v>0.02</v>
      </c>
      <c r="M30" s="35" t="str">
        <f t="shared" ref="M30:M48" si="5">IF(K30="",1,"")</f>
        <v/>
      </c>
      <c r="N30" s="28">
        <f>SUM(J30)/D30*L30+SUM(J30)</f>
        <v>0</v>
      </c>
      <c r="O30" s="137">
        <f>IF(L30&gt;0,1,IF(SUM(M30:M33)=4,1,""))</f>
        <v>1</v>
      </c>
      <c r="P30" s="137" t="str">
        <f>IF(O30="",B30,"")</f>
        <v/>
      </c>
      <c r="Q30" s="143">
        <f>SUM(P4:P48)/SUM(O4:O48)*(SUM(N30:N33)/B30)+SUM(N30:N33)</f>
        <v>3.2500000000000001E-2</v>
      </c>
      <c r="U30">
        <f>COUNTIFS('ליקויים מהמערכת'!$G:$G,$B$1,'ליקויים מהמערכת'!$C:$C,REPLACE(E30,1,0,"ליקוי ל: "))</f>
        <v>0</v>
      </c>
    </row>
    <row r="31" spans="1:21" ht="30" x14ac:dyDescent="0.25">
      <c r="A31" s="147"/>
      <c r="B31" s="150"/>
      <c r="C31" s="43" t="s">
        <v>18</v>
      </c>
      <c r="D31" s="56">
        <v>0.02</v>
      </c>
      <c r="E31" s="4" t="s">
        <v>130</v>
      </c>
      <c r="F31" s="22">
        <v>0.02</v>
      </c>
      <c r="G31" s="23" t="str">
        <f>IF(COUNTIFS('ליקויים מהמערכת'!$G:$G,$B$1,'ליקויים מהמערכת'!$C:$C,REPLACE(E31,1,0,"ליקוי ל: "))=0,"",SUMIFS('ליקויים מהמערכת'!$H:$H,'ליקויים מהמערכת'!$G:$G,$B$1,'ליקויים מהמערכת'!$C:$C,REPLACE(E31,1,0,"ליקוי ל: "))/100/COUNTIFS('ליקויים מהמערכת'!$G:$G,$B$1,'ליקויים מהמערכת'!$C:$C,REPLACE(E31,1,0,"ליקוי ל: ")))</f>
        <v/>
      </c>
      <c r="H31" s="20">
        <f t="shared" si="0"/>
        <v>0.02</v>
      </c>
      <c r="I31" s="20">
        <f t="shared" si="2"/>
        <v>0.02</v>
      </c>
      <c r="J31" s="29" t="str">
        <f t="shared" si="3"/>
        <v/>
      </c>
      <c r="K31" s="20">
        <f t="shared" si="4"/>
        <v>0.02</v>
      </c>
      <c r="L31" s="141"/>
      <c r="M31" s="30" t="str">
        <f t="shared" si="5"/>
        <v/>
      </c>
      <c r="N31" s="29">
        <f>SUM(J31)/D31*L30+SUM(J31)</f>
        <v>0</v>
      </c>
      <c r="O31" s="138"/>
      <c r="P31" s="138"/>
      <c r="Q31" s="144"/>
      <c r="U31">
        <f>COUNTIFS('ליקויים מהמערכת'!$G:$G,$B$1,'ליקויים מהמערכת'!$C:$C,REPLACE(E31,1,0,"ליקוי ל: "))</f>
        <v>0</v>
      </c>
    </row>
    <row r="32" spans="1:21" ht="30" x14ac:dyDescent="0.25">
      <c r="A32" s="147"/>
      <c r="B32" s="150"/>
      <c r="C32" s="43" t="s">
        <v>19</v>
      </c>
      <c r="D32" s="56">
        <v>0.02</v>
      </c>
      <c r="E32" s="5" t="s">
        <v>51</v>
      </c>
      <c r="F32" s="22">
        <v>0.02</v>
      </c>
      <c r="G32" s="23">
        <f>IF(COUNTIFS('ליקויים מהמערכת'!$G:$G,$B$1,'ליקויים מהמערכת'!$C:$C,REPLACE(E32,1,0,"ליקוי ל: "))=0,"",SUMIFS('ליקויים מהמערכת'!$H:$H,'ליקויים מהמערכת'!$G:$G,$B$1,'ליקויים מהמערכת'!$C:$C,REPLACE(E32,1,0,"ליקוי ל: "))/100/COUNTIFS('ליקויים מהמערכת'!$G:$G,$B$1,'ליקויים מהמערכת'!$C:$C,REPLACE(E32,1,0,"ליקוי ל: ")))</f>
        <v>0.5</v>
      </c>
      <c r="H32" s="20" t="str">
        <f t="shared" si="0"/>
        <v/>
      </c>
      <c r="I32" s="20" t="str">
        <f t="shared" si="2"/>
        <v/>
      </c>
      <c r="J32" s="21">
        <f t="shared" si="3"/>
        <v>0.01</v>
      </c>
      <c r="K32" s="20" t="str">
        <f t="shared" si="4"/>
        <v/>
      </c>
      <c r="L32" s="141"/>
      <c r="M32" s="30">
        <f t="shared" si="5"/>
        <v>1</v>
      </c>
      <c r="N32" s="21">
        <f>SUM(J32)/D32*L30+SUM(J32)</f>
        <v>0.02</v>
      </c>
      <c r="O32" s="138"/>
      <c r="P32" s="138"/>
      <c r="Q32" s="144"/>
      <c r="U32">
        <f>COUNTIFS('ליקויים מהמערכת'!$G:$G,$B$1,'ליקויים מהמערכת'!$C:$C,REPLACE(E32,1,0,"ליקוי ל: "))</f>
        <v>1</v>
      </c>
    </row>
    <row r="33" spans="1:21" ht="15.75" thickBot="1" x14ac:dyDescent="0.3">
      <c r="A33" s="148"/>
      <c r="B33" s="151"/>
      <c r="C33" s="44" t="s">
        <v>20</v>
      </c>
      <c r="D33" s="57">
        <v>0.02</v>
      </c>
      <c r="E33" s="8" t="s">
        <v>131</v>
      </c>
      <c r="F33" s="36">
        <v>0.02</v>
      </c>
      <c r="G33" s="31">
        <f>IF(COUNTIFS('ליקויים מהמערכת'!$G:$G,$B$1,'ליקויים מהמערכת'!$C:$C,REPLACE(E33,1,0,"ליקוי ל: "))=0,"",SUMIFS('ליקויים מהמערכת'!$H:$H,'ליקויים מהמערכת'!$G:$G,$B$1,'ליקויים מהמערכת'!$C:$C,REPLACE(E33,1,0,"ליקוי ל: "))/100/COUNTIFS('ליקויים מהמערכת'!$G:$G,$B$1,'ליקויים מהמערכת'!$C:$C,REPLACE(E33,1,0,"ליקוי ל: ")))</f>
        <v>0.25</v>
      </c>
      <c r="H33" s="26" t="str">
        <f t="shared" si="0"/>
        <v/>
      </c>
      <c r="I33" s="26" t="str">
        <f t="shared" si="2"/>
        <v/>
      </c>
      <c r="J33" s="32">
        <f t="shared" si="3"/>
        <v>5.0000000000000001E-3</v>
      </c>
      <c r="K33" s="26" t="str">
        <f t="shared" si="4"/>
        <v/>
      </c>
      <c r="L33" s="142"/>
      <c r="M33" s="37">
        <f t="shared" si="5"/>
        <v>1</v>
      </c>
      <c r="N33" s="32">
        <f>SUM(J33)/D33*L30+SUM(J33)</f>
        <v>0.01</v>
      </c>
      <c r="O33" s="139"/>
      <c r="P33" s="139"/>
      <c r="Q33" s="145"/>
      <c r="U33">
        <f>COUNTIFS('ליקויים מהמערכת'!$G:$G,$B$1,'ליקויים מהמערכת'!$C:$C,REPLACE(E33,1,0,"ליקוי ל: "))</f>
        <v>2</v>
      </c>
    </row>
    <row r="34" spans="1:21" ht="30" x14ac:dyDescent="0.25">
      <c r="A34" s="146" t="s">
        <v>3</v>
      </c>
      <c r="B34" s="149">
        <v>7.0000000000000007E-2</v>
      </c>
      <c r="C34" s="42" t="s">
        <v>21</v>
      </c>
      <c r="D34" s="55">
        <v>0.02</v>
      </c>
      <c r="E34" s="7" t="s">
        <v>132</v>
      </c>
      <c r="F34" s="33">
        <v>0.02</v>
      </c>
      <c r="G34" s="34" t="str">
        <f>IF(COUNTIFS('ליקויים מהמערכת'!$G:$G,$B$1,'ליקויים מהמערכת'!$C:$C,REPLACE(E34,1,0,"ליקוי ל: "))=0,"",SUMIFS('ליקויים מהמערכת'!$H:$H,'ליקויים מהמערכת'!$G:$G,$B$1,'ליקויים מהמערכת'!$C:$C,REPLACE(E34,1,0,"ליקוי ל: "))/100/COUNTIFS('ליקויים מהמערכת'!$G:$G,$B$1,'ליקויים מהמערכת'!$C:$C,REPLACE(E34,1,0,"ליקוי ל: ")))</f>
        <v/>
      </c>
      <c r="H34" s="16">
        <f t="shared" si="0"/>
        <v>0.02</v>
      </c>
      <c r="I34" s="16">
        <f t="shared" si="2"/>
        <v>0.02</v>
      </c>
      <c r="J34" s="28" t="str">
        <f t="shared" si="3"/>
        <v/>
      </c>
      <c r="K34" s="16">
        <f t="shared" si="4"/>
        <v>0.02</v>
      </c>
      <c r="L34" s="140">
        <f>IFERROR(SUM(K34:K38)/SUM(M34:M38),0)</f>
        <v>0.01</v>
      </c>
      <c r="M34" s="35" t="str">
        <f t="shared" si="5"/>
        <v/>
      </c>
      <c r="N34" s="28">
        <f>SUM(J34)/D34*L34+SUM(J34)</f>
        <v>0</v>
      </c>
      <c r="O34" s="137">
        <f>IF(L34&gt;0,1,IF(SUM(M34:M38)=5,1,""))</f>
        <v>1</v>
      </c>
      <c r="P34" s="137" t="str">
        <f>IF(O34="",B34,"")</f>
        <v/>
      </c>
      <c r="Q34" s="143">
        <f>SUM(P4:P48)/SUM(O4:O48)*(SUM(N34:N38)/B34)+SUM(N34:N38)</f>
        <v>6.0238095238095243E-2</v>
      </c>
      <c r="U34">
        <f>COUNTIFS('ליקויים מהמערכת'!$G:$G,$B$1,'ליקויים מהמערכת'!$C:$C,REPLACE(E34,1,0,"ליקוי ל: "))</f>
        <v>0</v>
      </c>
    </row>
    <row r="35" spans="1:21" ht="30" x14ac:dyDescent="0.25">
      <c r="A35" s="147"/>
      <c r="B35" s="150"/>
      <c r="C35" s="43" t="s">
        <v>22</v>
      </c>
      <c r="D35" s="56">
        <v>0.02</v>
      </c>
      <c r="E35" s="4" t="s">
        <v>133</v>
      </c>
      <c r="F35" s="22">
        <v>0.02</v>
      </c>
      <c r="G35" s="23">
        <f>IF(COUNTIFS('ליקויים מהמערכת'!$G:$G,$B$1,'ליקויים מהמערכת'!$C:$C,REPLACE(E35,1,0,"ליקוי ל: "))=0,"",SUMIFS('ליקויים מהמערכת'!$H:$H,'ליקויים מהמערכת'!$G:$G,$B$1,'ליקויים מהמערכת'!$C:$C,REPLACE(E35,1,0,"ליקוי ל: "))/100/COUNTIFS('ליקויים מהמערכת'!$G:$G,$B$1,'ליקויים מהמערכת'!$C:$C,REPLACE(E35,1,0,"ליקוי ל: ")))</f>
        <v>0.5</v>
      </c>
      <c r="H35" s="20" t="str">
        <f t="shared" si="0"/>
        <v/>
      </c>
      <c r="I35" s="20" t="str">
        <f t="shared" si="2"/>
        <v/>
      </c>
      <c r="J35" s="29">
        <f t="shared" si="3"/>
        <v>0.01</v>
      </c>
      <c r="K35" s="20" t="str">
        <f t="shared" si="4"/>
        <v/>
      </c>
      <c r="L35" s="141"/>
      <c r="M35" s="30">
        <f t="shared" si="5"/>
        <v>1</v>
      </c>
      <c r="N35" s="29">
        <f>SUM(J35)/D35*L34+SUM(J35)</f>
        <v>1.4999999999999999E-2</v>
      </c>
      <c r="O35" s="138"/>
      <c r="P35" s="138"/>
      <c r="Q35" s="144"/>
      <c r="U35">
        <f>COUNTIFS('ליקויים מהמערכת'!$G:$G,$B$1,'ליקויים מהמערכת'!$C:$C,REPLACE(E35,1,0,"ליקוי ל: "))</f>
        <v>2</v>
      </c>
    </row>
    <row r="36" spans="1:21" ht="15" x14ac:dyDescent="0.25">
      <c r="A36" s="147"/>
      <c r="B36" s="150"/>
      <c r="C36" s="43" t="s">
        <v>23</v>
      </c>
      <c r="D36" s="56">
        <v>0.01</v>
      </c>
      <c r="E36" s="4" t="s">
        <v>134</v>
      </c>
      <c r="F36" s="22">
        <v>0.01</v>
      </c>
      <c r="G36" s="23" t="str">
        <f>IF(COUNTIFS('ליקויים מהמערכת'!$G:$G,$B$1,'ליקויים מהמערכת'!$C:$C,REPLACE(E36,1,0,"ליקוי ל: "))=0,"",SUMIFS('ליקויים מהמערכת'!$H:$H,'ליקויים מהמערכת'!$G:$G,$B$1,'ליקויים מהמערכת'!$C:$C,REPLACE(E36,1,0,"ליקוי ל: "))/100/COUNTIFS('ליקויים מהמערכת'!$G:$G,$B$1,'ליקויים מהמערכת'!$C:$C,REPLACE(E36,1,0,"ליקוי ל: ")))</f>
        <v/>
      </c>
      <c r="H36" s="20">
        <f t="shared" si="0"/>
        <v>0.01</v>
      </c>
      <c r="I36" s="20">
        <f t="shared" si="2"/>
        <v>0.01</v>
      </c>
      <c r="J36" s="29" t="str">
        <f t="shared" si="3"/>
        <v/>
      </c>
      <c r="K36" s="20">
        <f t="shared" si="4"/>
        <v>0.01</v>
      </c>
      <c r="L36" s="141"/>
      <c r="M36" s="30" t="str">
        <f t="shared" si="5"/>
        <v/>
      </c>
      <c r="N36" s="29">
        <f>SUM(J36)/D36*L34+SUM(J36)</f>
        <v>0</v>
      </c>
      <c r="O36" s="138"/>
      <c r="P36" s="138"/>
      <c r="Q36" s="144"/>
      <c r="U36">
        <f>COUNTIFS('ליקויים מהמערכת'!$G:$G,$B$1,'ליקויים מהמערכת'!$C:$C,REPLACE(E36,1,0,"ליקוי ל: "))</f>
        <v>0</v>
      </c>
    </row>
    <row r="37" spans="1:21" ht="15" x14ac:dyDescent="0.25">
      <c r="A37" s="147"/>
      <c r="B37" s="150"/>
      <c r="C37" s="43" t="s">
        <v>24</v>
      </c>
      <c r="D37" s="56">
        <v>0.01</v>
      </c>
      <c r="E37" s="4" t="s">
        <v>135</v>
      </c>
      <c r="F37" s="22">
        <v>0.01</v>
      </c>
      <c r="G37" s="23">
        <f>IF(COUNTIFS('ליקויים מהמערכת'!$G:$G,$B$1,'ליקויים מהמערכת'!$C:$C,REPLACE(E37,1,0,"ליקוי ל: "))=0,"",SUMIFS('ליקויים מהמערכת'!$H:$H,'ליקויים מהמערכת'!$G:$G,$B$1,'ליקויים מהמערכת'!$C:$C,REPLACE(E37,1,0,"ליקוי ל: "))/100/COUNTIFS('ליקויים מהמערכת'!$G:$G,$B$1,'ליקויים מהמערכת'!$C:$C,REPLACE(E37,1,0,"ליקוי ל: ")))</f>
        <v>1</v>
      </c>
      <c r="H37" s="20" t="str">
        <f t="shared" si="0"/>
        <v/>
      </c>
      <c r="I37" s="20" t="str">
        <f t="shared" si="2"/>
        <v/>
      </c>
      <c r="J37" s="29">
        <f t="shared" si="3"/>
        <v>0.01</v>
      </c>
      <c r="K37" s="20" t="str">
        <f t="shared" si="4"/>
        <v/>
      </c>
      <c r="L37" s="141"/>
      <c r="M37" s="30">
        <f t="shared" si="5"/>
        <v>1</v>
      </c>
      <c r="N37" s="29">
        <f>SUM(J37)/D37*L34+SUM(J37)</f>
        <v>0.02</v>
      </c>
      <c r="O37" s="138"/>
      <c r="P37" s="138"/>
      <c r="Q37" s="144"/>
      <c r="U37">
        <f>COUNTIFS('ליקויים מהמערכת'!$G:$G,$B$1,'ליקויים מהמערכת'!$C:$C,REPLACE(E37,1,0,"ליקוי ל: "))</f>
        <v>2</v>
      </c>
    </row>
    <row r="38" spans="1:21" ht="15.75" thickBot="1" x14ac:dyDescent="0.3">
      <c r="A38" s="148"/>
      <c r="B38" s="151"/>
      <c r="C38" s="44" t="s">
        <v>25</v>
      </c>
      <c r="D38" s="57">
        <v>0.01</v>
      </c>
      <c r="E38" s="8" t="s">
        <v>136</v>
      </c>
      <c r="F38" s="36">
        <v>0.01</v>
      </c>
      <c r="G38" s="31">
        <f>IF(COUNTIFS('ליקויים מהמערכת'!$G:$G,$B$1,'ליקויים מהמערכת'!$C:$C,REPLACE(E38,1,0,"ליקוי ל: "))=0,"",SUMIFS('ליקויים מהמערכת'!$H:$H,'ליקויים מהמערכת'!$G:$G,$B$1,'ליקויים מהמערכת'!$C:$C,REPLACE(E38,1,0,"ליקוי ל: "))/100/COUNTIFS('ליקויים מהמערכת'!$G:$G,$B$1,'ליקויים מהמערכת'!$C:$C,REPLACE(E38,1,0,"ליקוי ל: ")))</f>
        <v>1</v>
      </c>
      <c r="H38" s="26" t="str">
        <f t="shared" si="0"/>
        <v/>
      </c>
      <c r="I38" s="26" t="str">
        <f t="shared" si="2"/>
        <v/>
      </c>
      <c r="J38" s="32">
        <f t="shared" si="3"/>
        <v>0.01</v>
      </c>
      <c r="K38" s="26" t="str">
        <f t="shared" si="4"/>
        <v/>
      </c>
      <c r="L38" s="142"/>
      <c r="M38" s="37">
        <f t="shared" si="5"/>
        <v>1</v>
      </c>
      <c r="N38" s="32">
        <f>SUM(J38)/D38*L34+SUM(J38)</f>
        <v>0.02</v>
      </c>
      <c r="O38" s="139"/>
      <c r="P38" s="139"/>
      <c r="Q38" s="145"/>
      <c r="U38">
        <f>COUNTIFS('ליקויים מהמערכת'!$G:$G,$B$1,'ליקויים מהמערכת'!$C:$C,REPLACE(E38,1,0,"ליקוי ל: "))</f>
        <v>2</v>
      </c>
    </row>
    <row r="39" spans="1:21" ht="15" x14ac:dyDescent="0.25">
      <c r="A39" s="146" t="s">
        <v>4</v>
      </c>
      <c r="B39" s="149">
        <v>0.05</v>
      </c>
      <c r="C39" s="45" t="s">
        <v>26</v>
      </c>
      <c r="D39" s="58">
        <v>0.03</v>
      </c>
      <c r="E39" s="7" t="s">
        <v>137</v>
      </c>
      <c r="F39" s="33">
        <v>0.03</v>
      </c>
      <c r="G39" s="34">
        <f>IF(COUNTIFS('ליקויים מהמערכת'!$G:$G,$B$1,'ליקויים מהמערכת'!$C:$C,REPLACE(E39,1,0,"ליקוי ל: "))=0,"",SUMIFS('ליקויים מהמערכת'!$H:$H,'ליקויים מהמערכת'!$G:$G,$B$1,'ליקויים מהמערכת'!$C:$C,REPLACE(E39,1,0,"ליקוי ל: "))/100/COUNTIFS('ליקויים מהמערכת'!$G:$G,$B$1,'ליקויים מהמערכת'!$C:$C,REPLACE(E39,1,0,"ליקוי ל: ")))</f>
        <v>1</v>
      </c>
      <c r="H39" s="16" t="str">
        <f t="shared" si="0"/>
        <v/>
      </c>
      <c r="I39" s="16" t="str">
        <f t="shared" si="2"/>
        <v/>
      </c>
      <c r="J39" s="28">
        <f t="shared" si="3"/>
        <v>0.03</v>
      </c>
      <c r="K39" s="16" t="str">
        <f t="shared" si="4"/>
        <v/>
      </c>
      <c r="L39" s="140">
        <f>IFERROR(SUM(K39:K41)/SUM(M39:M41),0)</f>
        <v>5.0000000000000001E-3</v>
      </c>
      <c r="M39" s="35">
        <f t="shared" si="5"/>
        <v>1</v>
      </c>
      <c r="N39" s="28">
        <f>SUM(J39)/D39*L39+SUM(J39)</f>
        <v>3.4999999999999996E-2</v>
      </c>
      <c r="O39" s="137">
        <f>IF(L39&gt;0,1,IF(SUM(M39:M41)=3,1,""))</f>
        <v>1</v>
      </c>
      <c r="P39" s="137" t="str">
        <f>IF(O39="",B39,"")</f>
        <v/>
      </c>
      <c r="Q39" s="143">
        <f>SUM(P4:P48)/SUM(O4:O48)*(SUM(N39:N41)/B39)+SUM(N39:N41)</f>
        <v>5.6666666666666664E-2</v>
      </c>
      <c r="U39">
        <f>COUNTIFS('ליקויים מהמערכת'!$G:$G,$B$1,'ליקויים מהמערכת'!$C:$C,REPLACE(E39,1,0,"ליקוי ל: "))</f>
        <v>2</v>
      </c>
    </row>
    <row r="40" spans="1:21" ht="15" x14ac:dyDescent="0.25">
      <c r="A40" s="147"/>
      <c r="B40" s="150"/>
      <c r="C40" s="46" t="s">
        <v>27</v>
      </c>
      <c r="D40" s="59">
        <v>0.01</v>
      </c>
      <c r="E40" s="4" t="s">
        <v>138</v>
      </c>
      <c r="F40" s="22">
        <v>0.01</v>
      </c>
      <c r="G40" s="23">
        <f>IF(COUNTIFS('ליקויים מהמערכת'!$G:$G,$B$1,'ליקויים מהמערכת'!$C:$C,REPLACE(E40,1,0,"ליקוי ל: "))=0,"",SUMIFS('ליקויים מהמערכת'!$H:$H,'ליקויים מהמערכת'!$G:$G,$B$1,'ליקויים מהמערכת'!$C:$C,REPLACE(E40,1,0,"ליקוי ל: "))/100/COUNTIFS('ליקויים מהמערכת'!$G:$G,$B$1,'ליקויים מהמערכת'!$C:$C,REPLACE(E40,1,0,"ליקוי ל: ")))</f>
        <v>1</v>
      </c>
      <c r="H40" s="20" t="str">
        <f t="shared" si="0"/>
        <v/>
      </c>
      <c r="I40" s="20" t="str">
        <f t="shared" si="2"/>
        <v/>
      </c>
      <c r="J40" s="29">
        <f t="shared" si="3"/>
        <v>0.01</v>
      </c>
      <c r="K40" s="20" t="str">
        <f t="shared" si="4"/>
        <v/>
      </c>
      <c r="L40" s="141"/>
      <c r="M40" s="30">
        <f t="shared" si="5"/>
        <v>1</v>
      </c>
      <c r="N40" s="29">
        <f>SUM(J40)/D40*L39+SUM(J40)</f>
        <v>1.4999999999999999E-2</v>
      </c>
      <c r="O40" s="138"/>
      <c r="P40" s="138"/>
      <c r="Q40" s="144"/>
      <c r="U40">
        <f>COUNTIFS('ליקויים מהמערכת'!$G:$G,$B$1,'ליקויים מהמערכת'!$C:$C,REPLACE(E40,1,0,"ליקוי ל: "))</f>
        <v>1</v>
      </c>
    </row>
    <row r="41" spans="1:21" ht="15.75" thickBot="1" x14ac:dyDescent="0.3">
      <c r="A41" s="148"/>
      <c r="B41" s="151"/>
      <c r="C41" s="47" t="s">
        <v>28</v>
      </c>
      <c r="D41" s="60">
        <v>0.01</v>
      </c>
      <c r="E41" s="8" t="s">
        <v>139</v>
      </c>
      <c r="F41" s="36">
        <v>0.01</v>
      </c>
      <c r="G41" s="31" t="str">
        <f>IF(COUNTIFS('ליקויים מהמערכת'!$G:$G,$B$1,'ליקויים מהמערכת'!$C:$C,REPLACE(E41,1,0,"ליקוי ל: "))=0,"",SUMIFS('ליקויים מהמערכת'!$H:$H,'ליקויים מהמערכת'!$G:$G,$B$1,'ליקויים מהמערכת'!$C:$C,REPLACE(E41,1,0,"ליקוי ל: "))/100/COUNTIFS('ליקויים מהמערכת'!$G:$G,$B$1,'ליקויים מהמערכת'!$C:$C,REPLACE(E41,1,0,"ליקוי ל: ")))</f>
        <v/>
      </c>
      <c r="H41" s="26">
        <f t="shared" si="0"/>
        <v>0.01</v>
      </c>
      <c r="I41" s="26">
        <f t="shared" si="2"/>
        <v>0.01</v>
      </c>
      <c r="J41" s="32" t="str">
        <f t="shared" si="3"/>
        <v/>
      </c>
      <c r="K41" s="26">
        <f t="shared" si="4"/>
        <v>0.01</v>
      </c>
      <c r="L41" s="142"/>
      <c r="M41" s="37" t="str">
        <f t="shared" si="5"/>
        <v/>
      </c>
      <c r="N41" s="41">
        <f>SUM(J41)/D41*L39+SUM(J41)</f>
        <v>0</v>
      </c>
      <c r="O41" s="139"/>
      <c r="P41" s="139"/>
      <c r="Q41" s="145"/>
      <c r="U41">
        <f>COUNTIFS('ליקויים מהמערכת'!$G:$G,$B$1,'ליקויים מהמערכת'!$C:$C,REPLACE(E41,1,0,"ליקוי ל: "))</f>
        <v>0</v>
      </c>
    </row>
    <row r="42" spans="1:21" ht="30" x14ac:dyDescent="0.25">
      <c r="A42" s="146" t="s">
        <v>5</v>
      </c>
      <c r="B42" s="149">
        <v>7.0000000000000007E-2</v>
      </c>
      <c r="C42" s="45" t="s">
        <v>29</v>
      </c>
      <c r="D42" s="58">
        <v>0.02</v>
      </c>
      <c r="E42" s="9" t="s">
        <v>52</v>
      </c>
      <c r="F42" s="33">
        <v>0.02</v>
      </c>
      <c r="G42" s="34">
        <f>IF(COUNTIFS('ליקויים מהמערכת'!$G:$G,$B$1,'ליקויים מהמערכת'!$C:$C,REPLACE(E42,1,0,"ליקוי ל: "))=0,"",SUMIFS('ליקויים מהמערכת'!$H:$H,'ליקויים מהמערכת'!$G:$G,$B$1,'ליקויים מהמערכת'!$C:$C,REPLACE(E42,1,0,"ליקוי ל: "))/100/COUNTIFS('ליקויים מהמערכת'!$G:$G,$B$1,'ליקויים מהמערכת'!$C:$C,REPLACE(E42,1,0,"ליקוי ל: ")))</f>
        <v>1</v>
      </c>
      <c r="H42" s="16" t="str">
        <f t="shared" si="0"/>
        <v/>
      </c>
      <c r="I42" s="16" t="str">
        <f t="shared" si="2"/>
        <v/>
      </c>
      <c r="J42" s="28">
        <f t="shared" si="3"/>
        <v>0.02</v>
      </c>
      <c r="K42" s="16" t="str">
        <f t="shared" si="4"/>
        <v/>
      </c>
      <c r="L42" s="140">
        <f>IFERROR(SUM(K42:K45)/SUM(M42:M45),0)</f>
        <v>3.3333333333333335E-3</v>
      </c>
      <c r="M42" s="35">
        <f t="shared" si="5"/>
        <v>1</v>
      </c>
      <c r="N42" s="28">
        <f>SUM(J42)/D42*L42+SUM(J42)</f>
        <v>2.3333333333333334E-2</v>
      </c>
      <c r="O42" s="137">
        <f>IF(L42&gt;0,1,IF(SUM(M42:M45)=4,1,""))</f>
        <v>1</v>
      </c>
      <c r="P42" s="140" t="str">
        <f>IF(O42="",B42,"")</f>
        <v/>
      </c>
      <c r="Q42" s="143">
        <f>SUM(P4:P48)/SUM(O4:O48)*(SUM(N42:N45)/B42)+SUM(N42:N45)</f>
        <v>4.685185185185186E-2</v>
      </c>
      <c r="U42">
        <f>COUNTIFS('ליקויים מהמערכת'!$G:$G,$B$1,'ליקויים מהמערכת'!$C:$C,REPLACE(E42,1,0,"ליקוי ל: "))</f>
        <v>3</v>
      </c>
    </row>
    <row r="43" spans="1:21" ht="30" x14ac:dyDescent="0.25">
      <c r="A43" s="147"/>
      <c r="B43" s="150"/>
      <c r="C43" s="46" t="s">
        <v>30</v>
      </c>
      <c r="D43" s="59">
        <v>0.02</v>
      </c>
      <c r="E43" s="5" t="s">
        <v>53</v>
      </c>
      <c r="F43" s="22">
        <v>0.02</v>
      </c>
      <c r="G43" s="23">
        <f>IF(COUNTIFS('ליקויים מהמערכת'!$G:$G,$B$1,'ליקויים מהמערכת'!$C:$C,REPLACE(E43,1,0,"ליקוי ל: "))=0,"",SUMIFS('ליקויים מהמערכת'!$H:$H,'ליקויים מהמערכת'!$G:$G,$B$1,'ליקויים מהמערכת'!$C:$C,REPLACE(E43,1,0,"ליקוי ל: "))/100/COUNTIFS('ליקויים מהמערכת'!$G:$G,$B$1,'ליקויים מהמערכת'!$C:$C,REPLACE(E43,1,0,"ליקוי ל: ")))</f>
        <v>0.5</v>
      </c>
      <c r="H43" s="20" t="str">
        <f t="shared" si="0"/>
        <v/>
      </c>
      <c r="I43" s="20" t="str">
        <f t="shared" si="2"/>
        <v/>
      </c>
      <c r="J43" s="29">
        <f t="shared" si="3"/>
        <v>0.01</v>
      </c>
      <c r="K43" s="20" t="str">
        <f t="shared" si="4"/>
        <v/>
      </c>
      <c r="L43" s="141"/>
      <c r="M43" s="30">
        <f t="shared" si="5"/>
        <v>1</v>
      </c>
      <c r="N43" s="29">
        <f>SUM(J43)/D43*L42+SUM(J43)</f>
        <v>1.1666666666666667E-2</v>
      </c>
      <c r="O43" s="138"/>
      <c r="P43" s="141"/>
      <c r="Q43" s="144"/>
      <c r="U43">
        <f>COUNTIFS('ליקויים מהמערכת'!$G:$G,$B$1,'ליקויים מהמערכת'!$C:$C,REPLACE(E43,1,0,"ליקוי ל: "))</f>
        <v>1</v>
      </c>
    </row>
    <row r="44" spans="1:21" ht="15" x14ac:dyDescent="0.25">
      <c r="A44" s="147"/>
      <c r="B44" s="150"/>
      <c r="C44" s="46" t="s">
        <v>31</v>
      </c>
      <c r="D44" s="59">
        <v>0.01</v>
      </c>
      <c r="E44" s="4" t="s">
        <v>140</v>
      </c>
      <c r="F44" s="22">
        <v>0.01</v>
      </c>
      <c r="G44" s="23" t="str">
        <f>IF(COUNTIFS('ליקויים מהמערכת'!$G:$G,$B$1,'ליקויים מהמערכת'!$C:$C,REPLACE(E44,1,0,"ליקוי ל: "))=0,"",SUMIFS('ליקויים מהמערכת'!$H:$H,'ליקויים מהמערכת'!$G:$G,$B$1,'ליקויים מהמערכת'!$C:$C,REPLACE(E44,1,0,"ליקוי ל: "))/100/COUNTIFS('ליקויים מהמערכת'!$G:$G,$B$1,'ליקויים מהמערכת'!$C:$C,REPLACE(E44,1,0,"ליקוי ל: ")))</f>
        <v/>
      </c>
      <c r="H44" s="20">
        <f t="shared" si="0"/>
        <v>0.01</v>
      </c>
      <c r="I44" s="20">
        <f t="shared" si="2"/>
        <v>0.01</v>
      </c>
      <c r="J44" s="29" t="str">
        <f t="shared" si="3"/>
        <v/>
      </c>
      <c r="K44" s="20">
        <f t="shared" si="4"/>
        <v>0.01</v>
      </c>
      <c r="L44" s="141"/>
      <c r="M44" s="30" t="str">
        <f t="shared" si="5"/>
        <v/>
      </c>
      <c r="N44" s="29">
        <f>SUM(J44)/D44*L42+SUM(J44)</f>
        <v>0</v>
      </c>
      <c r="O44" s="138"/>
      <c r="P44" s="141"/>
      <c r="Q44" s="144"/>
      <c r="U44">
        <f>COUNTIFS('ליקויים מהמערכת'!$G:$G,$B$1,'ליקויים מהמערכת'!$C:$C,REPLACE(E44,1,0,"ליקוי ל: "))</f>
        <v>0</v>
      </c>
    </row>
    <row r="45" spans="1:21" ht="15.75" thickBot="1" x14ac:dyDescent="0.3">
      <c r="A45" s="148"/>
      <c r="B45" s="151"/>
      <c r="C45" s="47" t="s">
        <v>32</v>
      </c>
      <c r="D45" s="60">
        <v>0.02</v>
      </c>
      <c r="E45" s="8" t="s">
        <v>141</v>
      </c>
      <c r="F45" s="36">
        <v>0.02</v>
      </c>
      <c r="G45" s="31">
        <f>IF(COUNTIFS('ליקויים מהמערכת'!$G:$G,$B$1,'ליקויים מהמערכת'!$C:$C,REPLACE(E45,1,0,"ליקוי ל: "))=0,"",SUMIFS('ליקויים מהמערכת'!$H:$H,'ליקויים מהמערכת'!$G:$G,$B$1,'ליקויים מהמערכת'!$C:$C,REPLACE(E45,1,0,"ליקוי ל: "))/100/COUNTIFS('ליקויים מהמערכת'!$G:$G,$B$1,'ליקויים מהמערכת'!$C:$C,REPLACE(E45,1,0,"ליקוי ל: ")))</f>
        <v>0.33333333333333331</v>
      </c>
      <c r="H45" s="26" t="str">
        <f t="shared" si="0"/>
        <v/>
      </c>
      <c r="I45" s="26" t="str">
        <f t="shared" si="2"/>
        <v/>
      </c>
      <c r="J45" s="32">
        <f t="shared" si="3"/>
        <v>6.6666666666666662E-3</v>
      </c>
      <c r="K45" s="26" t="str">
        <f t="shared" si="4"/>
        <v/>
      </c>
      <c r="L45" s="142"/>
      <c r="M45" s="37">
        <f t="shared" si="5"/>
        <v>1</v>
      </c>
      <c r="N45" s="32">
        <f>SUM(J45)/D45*L42+SUM(J45)</f>
        <v>7.7777777777777776E-3</v>
      </c>
      <c r="O45" s="139"/>
      <c r="P45" s="142"/>
      <c r="Q45" s="145"/>
      <c r="U45">
        <f>COUNTIFS('ליקויים מהמערכת'!$G:$G,$B$1,'ליקויים מהמערכת'!$C:$C,REPLACE(E45,1,0,"ליקוי ל: "))</f>
        <v>3</v>
      </c>
    </row>
    <row r="46" spans="1:21" ht="15" x14ac:dyDescent="0.25">
      <c r="A46" s="146" t="s">
        <v>6</v>
      </c>
      <c r="B46" s="149">
        <v>0.04</v>
      </c>
      <c r="C46" s="152" t="s">
        <v>33</v>
      </c>
      <c r="D46" s="58">
        <v>0.02</v>
      </c>
      <c r="E46" s="7" t="s">
        <v>142</v>
      </c>
      <c r="F46" s="33">
        <v>0.02</v>
      </c>
      <c r="G46" s="34" t="str">
        <f>IF(COUNTIFS('ליקויים מהמערכת'!$G:$G,$B$1,'ליקויים מהמערכת'!$C:$C,REPLACE(E46,1,0,"ליקוי ל: "))=0,"",SUMIFS('ליקויים מהמערכת'!$H:$H,'ליקויים מהמערכת'!$G:$G,$B$1,'ליקויים מהמערכת'!$C:$C,REPLACE(E46,1,0,"ליקוי ל: "))/100/COUNTIFS('ליקויים מהמערכת'!$G:$G,$B$1,'ליקויים מהמערכת'!$C:$C,REPLACE(E46,1,0,"ליקוי ל: ")))</f>
        <v/>
      </c>
      <c r="H46" s="16">
        <f t="shared" si="0"/>
        <v>0.02</v>
      </c>
      <c r="I46" s="16">
        <f t="shared" si="2"/>
        <v>0.02</v>
      </c>
      <c r="J46" s="28" t="str">
        <f t="shared" si="3"/>
        <v/>
      </c>
      <c r="K46" s="16">
        <f t="shared" si="4"/>
        <v>0.02</v>
      </c>
      <c r="L46" s="140">
        <f>IFERROR(SUM(K46:K48)/SUM(M46:M48),0)</f>
        <v>0</v>
      </c>
      <c r="M46" s="35" t="str">
        <f t="shared" si="5"/>
        <v/>
      </c>
      <c r="N46" s="28">
        <f>SUM(J46)/D46*L46+SUM(J46)</f>
        <v>0</v>
      </c>
      <c r="O46" s="137" t="str">
        <f>IF(L46&gt;0,1,IF(SUM(M46:M48)=3,1,""))</f>
        <v/>
      </c>
      <c r="P46" s="137">
        <f>IF(O46="",B46,"")</f>
        <v>0.04</v>
      </c>
      <c r="Q46" s="143">
        <f>SUM(P4:P48)/SUM(O4:O48)*(SUM(N46:N48)/B46)+SUM(N46:N48)</f>
        <v>0</v>
      </c>
      <c r="U46">
        <f>COUNTIFS('ליקויים מהמערכת'!$G:$G,$B$1,'ליקויים מהמערכת'!$C:$C,REPLACE(E46,1,0,"ליקוי ל: "))</f>
        <v>0</v>
      </c>
    </row>
    <row r="47" spans="1:21" ht="15" x14ac:dyDescent="0.25">
      <c r="A47" s="147"/>
      <c r="B47" s="150"/>
      <c r="C47" s="153"/>
      <c r="D47" s="59">
        <v>0.01</v>
      </c>
      <c r="E47" s="4" t="s">
        <v>143</v>
      </c>
      <c r="F47" s="22">
        <v>0.01</v>
      </c>
      <c r="G47" s="23" t="str">
        <f>IF(COUNTIFS('ליקויים מהמערכת'!$G:$G,$B$1,'ליקויים מהמערכת'!$C:$C,REPLACE(E47,1,0,"ליקוי ל: "))=0,"",SUMIFS('ליקויים מהמערכת'!$H:$H,'ליקויים מהמערכת'!$G:$G,$B$1,'ליקויים מהמערכת'!$C:$C,REPLACE(E47,1,0,"ליקוי ל: "))/100/COUNTIFS('ליקויים מהמערכת'!$G:$G,$B$1,'ליקויים מהמערכת'!$C:$C,REPLACE(E47,1,0,"ליקוי ל: ")))</f>
        <v/>
      </c>
      <c r="H47" s="20">
        <f t="shared" si="0"/>
        <v>0.01</v>
      </c>
      <c r="I47" s="20">
        <f t="shared" si="2"/>
        <v>0.01</v>
      </c>
      <c r="J47" s="29" t="str">
        <f t="shared" si="3"/>
        <v/>
      </c>
      <c r="K47" s="20">
        <f t="shared" si="4"/>
        <v>0.01</v>
      </c>
      <c r="L47" s="141"/>
      <c r="M47" s="30" t="str">
        <f t="shared" si="5"/>
        <v/>
      </c>
      <c r="N47" s="40">
        <f>SUM(J47)/D47*L46+SUM(J47)</f>
        <v>0</v>
      </c>
      <c r="O47" s="138"/>
      <c r="P47" s="138"/>
      <c r="Q47" s="144"/>
      <c r="U47">
        <f>COUNTIFS('ליקויים מהמערכת'!$G:$G,$B$1,'ליקויים מהמערכת'!$C:$C,REPLACE(E47,1,0,"ליקוי ל: "))</f>
        <v>0</v>
      </c>
    </row>
    <row r="48" spans="1:21" ht="15" thickBot="1" x14ac:dyDescent="0.25">
      <c r="A48" s="148"/>
      <c r="B48" s="151"/>
      <c r="C48" s="154"/>
      <c r="D48" s="60">
        <v>0.01</v>
      </c>
      <c r="E48" s="10" t="s">
        <v>144</v>
      </c>
      <c r="F48" s="38">
        <v>0.01</v>
      </c>
      <c r="G48" s="39" t="str">
        <f>IF(COUNTIFS('ליקויים מהמערכת'!$G:$G,$B$1,'ליקויים מהמערכת'!$C:$C,REPLACE(E48,1,0,"ליקוי ל: "))=0,"",SUMIFS('ליקויים מהמערכת'!$H:$H,'ליקויים מהמערכת'!$G:$G,$B$1,'ליקויים מהמערכת'!$C:$C,REPLACE(E48,1,0,"ליקוי ל: "))/100/COUNTIFS('ליקויים מהמערכת'!$G:$G,$B$1,'ליקויים מהמערכת'!$C:$C,REPLACE(E48,1,0,"ליקוי ל: ")))</f>
        <v/>
      </c>
      <c r="H48" s="26">
        <f t="shared" si="0"/>
        <v>0.01</v>
      </c>
      <c r="I48" s="26">
        <f t="shared" si="2"/>
        <v>0.01</v>
      </c>
      <c r="J48" s="32" t="str">
        <f t="shared" si="3"/>
        <v/>
      </c>
      <c r="K48" s="26">
        <f t="shared" si="4"/>
        <v>0.01</v>
      </c>
      <c r="L48" s="142"/>
      <c r="M48" s="37" t="str">
        <f t="shared" si="5"/>
        <v/>
      </c>
      <c r="N48" s="41">
        <f>SUM(J48)/D48*L46+SUM(J48)</f>
        <v>0</v>
      </c>
      <c r="O48" s="139"/>
      <c r="P48" s="139"/>
      <c r="Q48" s="145"/>
      <c r="U48">
        <f>COUNTIFS('ליקויים מהמערכת'!$G:$G,$B$1,'ליקויים מהמערכת'!$C:$C,REPLACE(E48,1,0,"ליקוי ל: "))</f>
        <v>0</v>
      </c>
    </row>
    <row r="49" spans="6:21" x14ac:dyDescent="0.2">
      <c r="U49">
        <f>SUM(U4:U48)</f>
        <v>35</v>
      </c>
    </row>
    <row r="51" spans="6:21" x14ac:dyDescent="0.2">
      <c r="F51" t="s">
        <v>92</v>
      </c>
      <c r="G51">
        <f>COUNT(G4:G48)</f>
        <v>21</v>
      </c>
    </row>
  </sheetData>
  <mergeCells count="91">
    <mergeCell ref="A4:A11"/>
    <mergeCell ref="B4:B11"/>
    <mergeCell ref="I4:I5"/>
    <mergeCell ref="K4:K5"/>
    <mergeCell ref="L4:L11"/>
    <mergeCell ref="C4:C5"/>
    <mergeCell ref="D4:D5"/>
    <mergeCell ref="C8:C9"/>
    <mergeCell ref="D8:D9"/>
    <mergeCell ref="I8:I9"/>
    <mergeCell ref="K8:K9"/>
    <mergeCell ref="C6:C7"/>
    <mergeCell ref="D6:D7"/>
    <mergeCell ref="I6:I7"/>
    <mergeCell ref="K6:K7"/>
    <mergeCell ref="C10:C11"/>
    <mergeCell ref="A12:A29"/>
    <mergeCell ref="B12:B29"/>
    <mergeCell ref="C12:C20"/>
    <mergeCell ref="D12:D20"/>
    <mergeCell ref="I12:I20"/>
    <mergeCell ref="C21:C22"/>
    <mergeCell ref="C25:C26"/>
    <mergeCell ref="M4:M5"/>
    <mergeCell ref="N4:N5"/>
    <mergeCell ref="O4:O11"/>
    <mergeCell ref="P4:P11"/>
    <mergeCell ref="Q4:Q11"/>
    <mergeCell ref="M6:M7"/>
    <mergeCell ref="N10:N11"/>
    <mergeCell ref="N6:N7"/>
    <mergeCell ref="M8:M9"/>
    <mergeCell ref="N8:N9"/>
    <mergeCell ref="D10:D11"/>
    <mergeCell ref="I10:I11"/>
    <mergeCell ref="K10:K11"/>
    <mergeCell ref="M10:M11"/>
    <mergeCell ref="N25:N26"/>
    <mergeCell ref="D21:D22"/>
    <mergeCell ref="I21:I22"/>
    <mergeCell ref="K21:K22"/>
    <mergeCell ref="M21:M22"/>
    <mergeCell ref="N21:N22"/>
    <mergeCell ref="D25:D26"/>
    <mergeCell ref="I25:I26"/>
    <mergeCell ref="K25:K26"/>
    <mergeCell ref="M25:M26"/>
    <mergeCell ref="K12:K20"/>
    <mergeCell ref="L12:L29"/>
    <mergeCell ref="Q30:Q33"/>
    <mergeCell ref="C27:C29"/>
    <mergeCell ref="D27:D29"/>
    <mergeCell ref="I27:I29"/>
    <mergeCell ref="K27:K29"/>
    <mergeCell ref="M27:M29"/>
    <mergeCell ref="N27:N29"/>
    <mergeCell ref="P12:P29"/>
    <mergeCell ref="Q12:Q29"/>
    <mergeCell ref="M12:M20"/>
    <mergeCell ref="N12:N20"/>
    <mergeCell ref="O12:O29"/>
    <mergeCell ref="A30:A33"/>
    <mergeCell ref="B30:B33"/>
    <mergeCell ref="L30:L33"/>
    <mergeCell ref="O30:O33"/>
    <mergeCell ref="P30:P33"/>
    <mergeCell ref="Q39:Q41"/>
    <mergeCell ref="A34:A38"/>
    <mergeCell ref="B34:B38"/>
    <mergeCell ref="L34:L38"/>
    <mergeCell ref="O34:O38"/>
    <mergeCell ref="P34:P38"/>
    <mergeCell ref="Q34:Q38"/>
    <mergeCell ref="A39:A41"/>
    <mergeCell ref="B39:B41"/>
    <mergeCell ref="L39:L41"/>
    <mergeCell ref="O39:O41"/>
    <mergeCell ref="P39:P41"/>
    <mergeCell ref="O42:O45"/>
    <mergeCell ref="P42:P45"/>
    <mergeCell ref="Q46:Q48"/>
    <mergeCell ref="A46:A48"/>
    <mergeCell ref="B46:B48"/>
    <mergeCell ref="C46:C48"/>
    <mergeCell ref="L46:L48"/>
    <mergeCell ref="O46:O48"/>
    <mergeCell ref="P46:P48"/>
    <mergeCell ref="Q42:Q45"/>
    <mergeCell ref="A42:A45"/>
    <mergeCell ref="B42:B45"/>
    <mergeCell ref="L42:L45"/>
  </mergeCells>
  <pageMargins left="0.70866141732283472" right="0.70866141732283472" top="0.74803149606299213" bottom="0.74803149606299213" header="0.31496062992125984" footer="0.31496062992125984"/>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rightToLeft="1" workbookViewId="0">
      <selection activeCell="G3" sqref="G3:G36"/>
    </sheetView>
  </sheetViews>
  <sheetFormatPr defaultRowHeight="14.25" x14ac:dyDescent="0.2"/>
  <cols>
    <col min="3" max="3" width="64" bestFit="1" customWidth="1"/>
  </cols>
  <sheetData>
    <row r="1" spans="1:9" ht="15" x14ac:dyDescent="0.25">
      <c r="A1" s="125" t="s">
        <v>113</v>
      </c>
      <c r="B1" s="125" t="s">
        <v>114</v>
      </c>
      <c r="C1" s="125" t="s">
        <v>115</v>
      </c>
      <c r="D1" s="125" t="s">
        <v>116</v>
      </c>
      <c r="E1" s="125" t="s">
        <v>117</v>
      </c>
      <c r="F1" s="125" t="s">
        <v>118</v>
      </c>
      <c r="G1" s="125" t="s">
        <v>119</v>
      </c>
      <c r="H1" s="125" t="s">
        <v>120</v>
      </c>
      <c r="I1" s="125" t="s">
        <v>121</v>
      </c>
    </row>
    <row r="2" spans="1:9" ht="15" x14ac:dyDescent="0.25">
      <c r="A2" s="171">
        <v>7950</v>
      </c>
      <c r="B2" s="172">
        <v>49063752</v>
      </c>
      <c r="C2" s="172" t="s">
        <v>166</v>
      </c>
      <c r="D2" s="173">
        <v>43344</v>
      </c>
      <c r="E2" s="173">
        <v>43344</v>
      </c>
      <c r="F2" s="172">
        <v>1</v>
      </c>
      <c r="G2" s="172" t="s">
        <v>159</v>
      </c>
      <c r="H2" s="172">
        <v>0</v>
      </c>
    </row>
    <row r="3" spans="1:9" ht="15" x14ac:dyDescent="0.25">
      <c r="A3" s="171">
        <v>7950</v>
      </c>
      <c r="B3" s="172">
        <v>49063753</v>
      </c>
      <c r="C3" s="172" t="s">
        <v>167</v>
      </c>
      <c r="D3" s="173">
        <v>43344</v>
      </c>
      <c r="E3" s="173">
        <v>43344</v>
      </c>
      <c r="F3" s="172">
        <v>1</v>
      </c>
      <c r="G3" s="172" t="s">
        <v>159</v>
      </c>
      <c r="H3" s="172">
        <v>0</v>
      </c>
      <c r="I3" s="129"/>
    </row>
    <row r="4" spans="1:9" ht="15" x14ac:dyDescent="0.25">
      <c r="A4" s="171">
        <v>7950</v>
      </c>
      <c r="B4" s="172">
        <v>49063754</v>
      </c>
      <c r="C4" s="172" t="s">
        <v>168</v>
      </c>
      <c r="D4" s="173">
        <v>43344</v>
      </c>
      <c r="E4" s="173">
        <v>43344</v>
      </c>
      <c r="F4" s="172">
        <v>1</v>
      </c>
      <c r="G4" s="172" t="s">
        <v>159</v>
      </c>
      <c r="H4" s="172">
        <v>0</v>
      </c>
    </row>
    <row r="5" spans="1:9" ht="15" x14ac:dyDescent="0.25">
      <c r="A5" s="171">
        <v>7950</v>
      </c>
      <c r="B5" s="172">
        <v>49063756</v>
      </c>
      <c r="C5" s="172" t="s">
        <v>169</v>
      </c>
      <c r="D5" s="173">
        <v>43320</v>
      </c>
      <c r="E5" s="173">
        <v>43320</v>
      </c>
      <c r="F5" s="172">
        <v>1</v>
      </c>
      <c r="G5" s="172" t="s">
        <v>159</v>
      </c>
      <c r="H5" s="172">
        <v>100</v>
      </c>
    </row>
    <row r="6" spans="1:9" ht="15" x14ac:dyDescent="0.25">
      <c r="A6" s="171">
        <v>7950</v>
      </c>
      <c r="B6" s="172">
        <v>49063758</v>
      </c>
      <c r="C6" s="172" t="s">
        <v>170</v>
      </c>
      <c r="D6" s="173">
        <v>43320</v>
      </c>
      <c r="E6" s="173">
        <v>43320</v>
      </c>
      <c r="F6" s="172">
        <v>1</v>
      </c>
      <c r="G6" s="172" t="s">
        <v>159</v>
      </c>
      <c r="H6" s="172">
        <v>100</v>
      </c>
      <c r="I6" s="129"/>
    </row>
    <row r="7" spans="1:9" ht="15" x14ac:dyDescent="0.25">
      <c r="A7" s="171">
        <v>7950</v>
      </c>
      <c r="B7" s="172">
        <v>49063760</v>
      </c>
      <c r="C7" s="172" t="s">
        <v>171</v>
      </c>
      <c r="D7" s="173">
        <v>43320</v>
      </c>
      <c r="E7" s="173">
        <v>43320</v>
      </c>
      <c r="F7" s="172">
        <v>1</v>
      </c>
      <c r="G7" s="172" t="s">
        <v>159</v>
      </c>
      <c r="H7" s="172">
        <v>100</v>
      </c>
    </row>
    <row r="8" spans="1:9" ht="15" x14ac:dyDescent="0.25">
      <c r="A8" s="171">
        <v>7950</v>
      </c>
      <c r="B8" s="172">
        <v>49063810</v>
      </c>
      <c r="C8" s="172" t="s">
        <v>172</v>
      </c>
      <c r="D8" s="173">
        <v>43320</v>
      </c>
      <c r="E8" s="173">
        <v>43320</v>
      </c>
      <c r="F8" s="172">
        <v>1</v>
      </c>
      <c r="G8" s="172" t="s">
        <v>159</v>
      </c>
      <c r="H8" s="172">
        <v>50</v>
      </c>
    </row>
    <row r="9" spans="1:9" ht="15" x14ac:dyDescent="0.25">
      <c r="A9" s="171">
        <v>7950</v>
      </c>
      <c r="B9" s="172">
        <v>49063811</v>
      </c>
      <c r="C9" s="172" t="s">
        <v>173</v>
      </c>
      <c r="D9" s="173">
        <v>43344</v>
      </c>
      <c r="E9" s="173">
        <v>43344</v>
      </c>
      <c r="F9" s="172">
        <v>1</v>
      </c>
      <c r="G9" s="172" t="s">
        <v>159</v>
      </c>
      <c r="H9" s="172">
        <v>0</v>
      </c>
    </row>
    <row r="10" spans="1:9" ht="15" x14ac:dyDescent="0.25">
      <c r="A10" s="171">
        <v>7950</v>
      </c>
      <c r="B10" s="172">
        <v>49063772</v>
      </c>
      <c r="C10" s="172" t="s">
        <v>173</v>
      </c>
      <c r="D10" s="173">
        <v>43344</v>
      </c>
      <c r="E10" s="173">
        <v>43344</v>
      </c>
      <c r="F10" s="172">
        <v>1</v>
      </c>
      <c r="G10" s="172" t="s">
        <v>159</v>
      </c>
      <c r="H10" s="172">
        <v>50</v>
      </c>
    </row>
    <row r="11" spans="1:9" ht="15" x14ac:dyDescent="0.25">
      <c r="A11" s="171">
        <v>7950</v>
      </c>
      <c r="B11" s="172">
        <v>49063773</v>
      </c>
      <c r="C11" s="172" t="s">
        <v>170</v>
      </c>
      <c r="D11" s="173">
        <v>43320</v>
      </c>
      <c r="E11" s="173">
        <v>43320</v>
      </c>
      <c r="F11" s="172">
        <v>1</v>
      </c>
      <c r="G11" s="172" t="s">
        <v>159</v>
      </c>
      <c r="H11" s="172">
        <v>100</v>
      </c>
      <c r="I11" s="129"/>
    </row>
    <row r="12" spans="1:9" ht="15" x14ac:dyDescent="0.25">
      <c r="A12" s="171">
        <v>7950</v>
      </c>
      <c r="B12" s="172">
        <v>49063774</v>
      </c>
      <c r="C12" s="172" t="s">
        <v>174</v>
      </c>
      <c r="D12" s="173">
        <v>43320</v>
      </c>
      <c r="E12" s="173">
        <v>43320</v>
      </c>
      <c r="F12" s="172">
        <v>1</v>
      </c>
      <c r="G12" s="172" t="s">
        <v>159</v>
      </c>
      <c r="H12" s="172">
        <v>100</v>
      </c>
    </row>
    <row r="13" spans="1:9" ht="15" x14ac:dyDescent="0.25">
      <c r="A13" s="171">
        <v>7950</v>
      </c>
      <c r="B13" s="172">
        <v>49063804</v>
      </c>
      <c r="C13" s="172" t="s">
        <v>175</v>
      </c>
      <c r="D13" s="173">
        <v>43344</v>
      </c>
      <c r="E13" s="173">
        <v>43344</v>
      </c>
      <c r="F13" s="172">
        <v>1</v>
      </c>
      <c r="G13" s="172" t="s">
        <v>159</v>
      </c>
      <c r="H13" s="172">
        <v>0</v>
      </c>
    </row>
    <row r="14" spans="1:9" ht="15" x14ac:dyDescent="0.25">
      <c r="A14" s="171">
        <v>7950</v>
      </c>
      <c r="B14" s="172">
        <v>49063805</v>
      </c>
      <c r="C14" s="172" t="s">
        <v>176</v>
      </c>
      <c r="D14" s="173">
        <v>43320</v>
      </c>
      <c r="E14" s="173">
        <v>43320</v>
      </c>
      <c r="F14" s="172">
        <v>1</v>
      </c>
      <c r="G14" s="172" t="s">
        <v>159</v>
      </c>
      <c r="H14" s="172">
        <v>100</v>
      </c>
      <c r="I14" s="129"/>
    </row>
    <row r="15" spans="1:9" ht="15" x14ac:dyDescent="0.25">
      <c r="A15" s="171">
        <v>7950</v>
      </c>
      <c r="B15" s="172">
        <v>49063806</v>
      </c>
      <c r="C15" s="172" t="s">
        <v>177</v>
      </c>
      <c r="D15" s="173">
        <v>43320</v>
      </c>
      <c r="E15" s="173">
        <v>43320</v>
      </c>
      <c r="F15" s="172">
        <v>1</v>
      </c>
      <c r="G15" s="172" t="s">
        <v>159</v>
      </c>
      <c r="H15" s="172">
        <v>100</v>
      </c>
      <c r="I15" s="129"/>
    </row>
    <row r="16" spans="1:9" ht="15" x14ac:dyDescent="0.25">
      <c r="A16" s="171">
        <v>7950</v>
      </c>
      <c r="B16" s="172">
        <v>49063807</v>
      </c>
      <c r="C16" s="172" t="s">
        <v>169</v>
      </c>
      <c r="D16" s="173">
        <v>43320</v>
      </c>
      <c r="E16" s="173">
        <v>43320</v>
      </c>
      <c r="F16" s="172">
        <v>1</v>
      </c>
      <c r="G16" s="172" t="s">
        <v>159</v>
      </c>
      <c r="H16" s="172">
        <v>100</v>
      </c>
    </row>
    <row r="17" spans="1:9" ht="15" x14ac:dyDescent="0.25">
      <c r="A17" s="171">
        <v>7950</v>
      </c>
      <c r="B17" s="172">
        <v>49063808</v>
      </c>
      <c r="C17" s="172" t="s">
        <v>178</v>
      </c>
      <c r="D17" s="173">
        <v>43320</v>
      </c>
      <c r="E17" s="173">
        <v>43320</v>
      </c>
      <c r="F17" s="172">
        <v>1</v>
      </c>
      <c r="G17" s="172" t="s">
        <v>159</v>
      </c>
      <c r="H17" s="172">
        <v>100</v>
      </c>
      <c r="I17" s="124"/>
    </row>
    <row r="18" spans="1:9" ht="15" x14ac:dyDescent="0.25">
      <c r="A18" s="171">
        <v>7950</v>
      </c>
      <c r="B18" s="172">
        <v>49063809</v>
      </c>
      <c r="C18" s="172" t="s">
        <v>174</v>
      </c>
      <c r="D18" s="173">
        <v>43320</v>
      </c>
      <c r="E18" s="173">
        <v>43320</v>
      </c>
      <c r="F18" s="172">
        <v>1</v>
      </c>
      <c r="G18" s="172" t="s">
        <v>159</v>
      </c>
      <c r="H18" s="172">
        <v>100</v>
      </c>
    </row>
    <row r="19" spans="1:9" ht="15" x14ac:dyDescent="0.25">
      <c r="A19" s="171">
        <v>7950</v>
      </c>
      <c r="B19" s="172">
        <v>49063798</v>
      </c>
      <c r="C19" s="172" t="s">
        <v>179</v>
      </c>
      <c r="D19" s="173">
        <v>43344</v>
      </c>
      <c r="E19" s="173">
        <v>43344</v>
      </c>
      <c r="F19" s="172">
        <v>1</v>
      </c>
      <c r="G19" s="172" t="s">
        <v>159</v>
      </c>
      <c r="H19" s="172">
        <v>0</v>
      </c>
    </row>
    <row r="20" spans="1:9" ht="15" x14ac:dyDescent="0.25">
      <c r="A20" s="171">
        <v>7950</v>
      </c>
      <c r="B20" s="172">
        <v>49063799</v>
      </c>
      <c r="C20" s="172" t="s">
        <v>180</v>
      </c>
      <c r="D20" s="173">
        <v>43320</v>
      </c>
      <c r="E20" s="173">
        <v>43320</v>
      </c>
      <c r="F20" s="172">
        <v>1</v>
      </c>
      <c r="G20" s="172" t="s">
        <v>159</v>
      </c>
      <c r="H20" s="172">
        <v>100</v>
      </c>
    </row>
    <row r="21" spans="1:9" ht="15" x14ac:dyDescent="0.25">
      <c r="A21" s="171">
        <v>7950</v>
      </c>
      <c r="B21" s="172">
        <v>49063800</v>
      </c>
      <c r="C21" s="172" t="s">
        <v>181</v>
      </c>
      <c r="D21" s="173">
        <v>43320</v>
      </c>
      <c r="E21" s="173">
        <v>43320</v>
      </c>
      <c r="F21" s="172">
        <v>1</v>
      </c>
      <c r="G21" s="172" t="s">
        <v>159</v>
      </c>
      <c r="H21" s="172">
        <v>100</v>
      </c>
    </row>
    <row r="22" spans="1:9" ht="15" x14ac:dyDescent="0.25">
      <c r="A22" s="171">
        <v>7950</v>
      </c>
      <c r="B22" s="172">
        <v>49063801</v>
      </c>
      <c r="C22" s="172" t="s">
        <v>182</v>
      </c>
      <c r="D22" s="173">
        <v>43320</v>
      </c>
      <c r="E22" s="173">
        <v>43320</v>
      </c>
      <c r="F22" s="172">
        <v>1</v>
      </c>
      <c r="G22" s="172" t="s">
        <v>159</v>
      </c>
      <c r="H22" s="172">
        <v>100</v>
      </c>
    </row>
    <row r="23" spans="1:9" ht="15" x14ac:dyDescent="0.25">
      <c r="A23" s="171">
        <v>7950</v>
      </c>
      <c r="B23" s="172">
        <v>49063802</v>
      </c>
      <c r="C23" s="172" t="s">
        <v>183</v>
      </c>
      <c r="D23" s="173">
        <v>43320</v>
      </c>
      <c r="E23" s="173">
        <v>43320</v>
      </c>
      <c r="F23" s="172">
        <v>1</v>
      </c>
      <c r="G23" s="172" t="s">
        <v>159</v>
      </c>
      <c r="H23" s="172">
        <v>50</v>
      </c>
    </row>
    <row r="24" spans="1:9" ht="15" x14ac:dyDescent="0.25">
      <c r="A24" s="171">
        <v>7950</v>
      </c>
      <c r="B24" s="172">
        <v>49063803</v>
      </c>
      <c r="C24" s="172" t="s">
        <v>184</v>
      </c>
      <c r="D24" s="173">
        <v>43320</v>
      </c>
      <c r="E24" s="173">
        <v>43320</v>
      </c>
      <c r="F24" s="172">
        <v>1</v>
      </c>
      <c r="G24" s="172" t="s">
        <v>159</v>
      </c>
      <c r="H24" s="172">
        <v>0</v>
      </c>
    </row>
    <row r="25" spans="1:9" ht="15" x14ac:dyDescent="0.25">
      <c r="A25" s="171">
        <v>7950</v>
      </c>
      <c r="B25" s="172">
        <v>49063769</v>
      </c>
      <c r="C25" s="172" t="s">
        <v>177</v>
      </c>
      <c r="D25" s="173">
        <v>43320</v>
      </c>
      <c r="E25" s="173">
        <v>43320</v>
      </c>
      <c r="F25" s="172">
        <v>1</v>
      </c>
      <c r="G25" s="172" t="s">
        <v>159</v>
      </c>
      <c r="H25" s="172">
        <v>100</v>
      </c>
    </row>
    <row r="26" spans="1:9" ht="15" x14ac:dyDescent="0.25">
      <c r="A26" s="171">
        <v>7950</v>
      </c>
      <c r="B26" s="172">
        <v>49063770</v>
      </c>
      <c r="C26" s="172" t="s">
        <v>174</v>
      </c>
      <c r="D26" s="173">
        <v>43320</v>
      </c>
      <c r="E26" s="173">
        <v>43320</v>
      </c>
      <c r="F26" s="172">
        <v>1</v>
      </c>
      <c r="G26" s="172" t="s">
        <v>159</v>
      </c>
      <c r="H26" s="172">
        <v>100</v>
      </c>
      <c r="I26" s="129"/>
    </row>
    <row r="27" spans="1:9" ht="15" x14ac:dyDescent="0.25">
      <c r="A27" s="171">
        <v>7950</v>
      </c>
      <c r="B27" s="172">
        <v>49063771</v>
      </c>
      <c r="C27" s="172" t="s">
        <v>173</v>
      </c>
      <c r="D27" s="173">
        <v>43320</v>
      </c>
      <c r="E27" s="173">
        <v>43320</v>
      </c>
      <c r="F27" s="172">
        <v>1</v>
      </c>
      <c r="G27" s="172" t="s">
        <v>159</v>
      </c>
      <c r="H27" s="172">
        <v>50</v>
      </c>
    </row>
    <row r="28" spans="1:9" ht="15" x14ac:dyDescent="0.25">
      <c r="A28" s="171">
        <v>7950</v>
      </c>
      <c r="B28" s="172">
        <v>49063792</v>
      </c>
      <c r="C28" s="172" t="s">
        <v>170</v>
      </c>
      <c r="D28" s="173">
        <v>43320</v>
      </c>
      <c r="E28" s="173">
        <v>43320</v>
      </c>
      <c r="F28" s="172">
        <v>1</v>
      </c>
      <c r="G28" s="172" t="s">
        <v>159</v>
      </c>
      <c r="H28" s="172">
        <v>25</v>
      </c>
      <c r="I28" s="129"/>
    </row>
    <row r="29" spans="1:9" ht="15" x14ac:dyDescent="0.25">
      <c r="A29" s="171">
        <v>7950</v>
      </c>
      <c r="B29" s="172">
        <v>49063796</v>
      </c>
      <c r="C29" s="172" t="s">
        <v>171</v>
      </c>
      <c r="D29" s="173">
        <v>43320</v>
      </c>
      <c r="E29" s="173">
        <v>43320</v>
      </c>
      <c r="F29" s="172">
        <v>1</v>
      </c>
      <c r="G29" s="172" t="s">
        <v>159</v>
      </c>
      <c r="H29" s="172">
        <v>50</v>
      </c>
      <c r="I29" s="129"/>
    </row>
    <row r="30" spans="1:9" ht="15" x14ac:dyDescent="0.25">
      <c r="A30" s="171">
        <v>7950</v>
      </c>
      <c r="B30" s="172">
        <v>49063797</v>
      </c>
      <c r="C30" s="172" t="s">
        <v>185</v>
      </c>
      <c r="D30" s="173">
        <v>43320</v>
      </c>
      <c r="E30" s="173">
        <v>43320</v>
      </c>
      <c r="F30" s="172">
        <v>1</v>
      </c>
      <c r="G30" s="172" t="s">
        <v>159</v>
      </c>
      <c r="H30" s="172">
        <v>100</v>
      </c>
    </row>
    <row r="31" spans="1:9" ht="15" x14ac:dyDescent="0.25">
      <c r="A31" s="171">
        <v>7950</v>
      </c>
      <c r="B31" s="172">
        <v>49063762</v>
      </c>
      <c r="C31" s="172" t="s">
        <v>186</v>
      </c>
      <c r="D31" s="173">
        <v>43320</v>
      </c>
      <c r="E31" s="173">
        <v>43320</v>
      </c>
      <c r="F31" s="172">
        <v>1</v>
      </c>
      <c r="G31" s="172" t="s">
        <v>159</v>
      </c>
      <c r="H31" s="172">
        <v>100</v>
      </c>
      <c r="I31" s="129"/>
    </row>
    <row r="32" spans="1:9" ht="15" x14ac:dyDescent="0.25">
      <c r="A32" s="171">
        <v>7950</v>
      </c>
      <c r="B32" s="172">
        <v>49063763</v>
      </c>
      <c r="C32" s="172" t="s">
        <v>184</v>
      </c>
      <c r="D32" s="173">
        <v>43320</v>
      </c>
      <c r="E32" s="173">
        <v>43320</v>
      </c>
      <c r="F32" s="172">
        <v>1</v>
      </c>
      <c r="G32" s="172" t="s">
        <v>159</v>
      </c>
      <c r="H32" s="172">
        <v>50</v>
      </c>
    </row>
    <row r="33" spans="1:9" ht="15" x14ac:dyDescent="0.25">
      <c r="A33" s="171">
        <v>7950</v>
      </c>
      <c r="B33" s="172">
        <v>49063764</v>
      </c>
      <c r="C33" s="172" t="s">
        <v>181</v>
      </c>
      <c r="D33" s="173">
        <v>43344</v>
      </c>
      <c r="E33" s="173">
        <v>43344</v>
      </c>
      <c r="F33" s="172">
        <v>1</v>
      </c>
      <c r="G33" s="172" t="s">
        <v>159</v>
      </c>
      <c r="H33" s="172">
        <v>0</v>
      </c>
    </row>
    <row r="34" spans="1:9" ht="15" x14ac:dyDescent="0.25">
      <c r="A34" s="171">
        <v>7950</v>
      </c>
      <c r="B34" s="172">
        <v>49063766</v>
      </c>
      <c r="C34" s="172" t="s">
        <v>182</v>
      </c>
      <c r="D34" s="173">
        <v>43320</v>
      </c>
      <c r="E34" s="173">
        <v>43320</v>
      </c>
      <c r="F34" s="172">
        <v>1</v>
      </c>
      <c r="G34" s="172" t="s">
        <v>159</v>
      </c>
      <c r="H34" s="172">
        <v>100</v>
      </c>
      <c r="I34" s="129"/>
    </row>
    <row r="35" spans="1:9" ht="15" x14ac:dyDescent="0.25">
      <c r="A35" s="171">
        <v>7950</v>
      </c>
      <c r="B35" s="172">
        <v>49063767</v>
      </c>
      <c r="C35" s="172" t="s">
        <v>175</v>
      </c>
      <c r="D35" s="173">
        <v>43320</v>
      </c>
      <c r="E35" s="173">
        <v>43320</v>
      </c>
      <c r="F35" s="172">
        <v>1</v>
      </c>
      <c r="G35" s="172" t="s">
        <v>159</v>
      </c>
      <c r="H35" s="172">
        <v>100</v>
      </c>
    </row>
    <row r="36" spans="1:9" ht="15" x14ac:dyDescent="0.25">
      <c r="A36" s="174">
        <v>7950</v>
      </c>
      <c r="B36" s="175">
        <v>49063768</v>
      </c>
      <c r="C36" s="175" t="s">
        <v>176</v>
      </c>
      <c r="D36" s="176">
        <v>43320</v>
      </c>
      <c r="E36" s="176">
        <v>43320</v>
      </c>
      <c r="F36" s="175">
        <v>1</v>
      </c>
      <c r="G36" s="172" t="s">
        <v>159</v>
      </c>
      <c r="H36" s="175">
        <v>100</v>
      </c>
    </row>
    <row r="37" spans="1:9" ht="15" x14ac:dyDescent="0.25">
      <c r="A37" s="134"/>
      <c r="B37" s="134"/>
      <c r="C37" s="134"/>
      <c r="D37" s="135"/>
      <c r="E37" s="135"/>
      <c r="F37" s="134"/>
      <c r="G37" s="134"/>
      <c r="H37" s="134"/>
    </row>
    <row r="38" spans="1:9" ht="15" x14ac:dyDescent="0.25">
      <c r="A38" s="134"/>
      <c r="B38" s="134"/>
      <c r="C38" s="134"/>
      <c r="D38" s="135"/>
      <c r="E38" s="135"/>
      <c r="F38" s="134"/>
      <c r="G38" s="134"/>
      <c r="H38" s="134"/>
    </row>
    <row r="39" spans="1:9" ht="15" x14ac:dyDescent="0.25">
      <c r="A39" s="134"/>
      <c r="B39" s="134"/>
      <c r="C39" s="134"/>
      <c r="D39" s="135"/>
      <c r="E39" s="135"/>
      <c r="F39" s="134"/>
      <c r="G39" s="134"/>
      <c r="H39" s="134"/>
    </row>
    <row r="40" spans="1:9" ht="15" x14ac:dyDescent="0.25">
      <c r="A40" s="134"/>
      <c r="B40" s="134"/>
      <c r="C40" s="134"/>
      <c r="D40" s="135"/>
      <c r="E40" s="135"/>
      <c r="F40" s="134"/>
      <c r="G40" s="134"/>
      <c r="H40" s="134"/>
    </row>
    <row r="41" spans="1:9" ht="15" x14ac:dyDescent="0.25">
      <c r="A41" s="134"/>
      <c r="B41" s="134"/>
      <c r="C41" s="134"/>
      <c r="D41" s="135"/>
      <c r="E41" s="135"/>
      <c r="F41" s="134"/>
      <c r="G41" s="134"/>
      <c r="H41" s="134"/>
    </row>
    <row r="42" spans="1:9" ht="15" x14ac:dyDescent="0.25">
      <c r="A42" s="134"/>
      <c r="B42" s="134"/>
      <c r="C42" s="134"/>
      <c r="D42" s="135"/>
      <c r="E42" s="135"/>
      <c r="F42" s="134"/>
      <c r="G42" s="134"/>
      <c r="H42" s="134"/>
    </row>
    <row r="43" spans="1:9" ht="15" x14ac:dyDescent="0.25">
      <c r="A43" s="134"/>
      <c r="B43" s="134"/>
      <c r="C43" s="134"/>
      <c r="D43" s="135"/>
      <c r="E43" s="135"/>
      <c r="F43" s="134"/>
      <c r="G43" s="134"/>
      <c r="H43" s="134"/>
    </row>
    <row r="44" spans="1:9" ht="15" x14ac:dyDescent="0.25">
      <c r="A44" s="134"/>
      <c r="B44" s="134"/>
      <c r="C44" s="134"/>
      <c r="D44" s="135"/>
      <c r="E44" s="135"/>
      <c r="F44" s="134"/>
      <c r="G44" s="134"/>
      <c r="H44" s="134"/>
      <c r="I44" s="129"/>
    </row>
    <row r="45" spans="1:9" ht="15" x14ac:dyDescent="0.25">
      <c r="A45" s="134"/>
      <c r="B45" s="134"/>
      <c r="C45" s="134"/>
      <c r="D45" s="135"/>
      <c r="E45" s="135"/>
      <c r="F45" s="134"/>
      <c r="G45" s="134"/>
      <c r="H45" s="134"/>
    </row>
    <row r="46" spans="1:9" ht="15" x14ac:dyDescent="0.25">
      <c r="A46" s="134"/>
      <c r="B46" s="134"/>
      <c r="C46" s="134"/>
      <c r="D46" s="135"/>
      <c r="E46" s="135"/>
      <c r="F46" s="134"/>
      <c r="G46" s="134"/>
      <c r="H46" s="134"/>
    </row>
    <row r="47" spans="1:9" ht="15" x14ac:dyDescent="0.25">
      <c r="A47" s="134"/>
      <c r="B47" s="134"/>
      <c r="C47" s="134"/>
      <c r="D47" s="135"/>
      <c r="E47" s="135"/>
      <c r="F47" s="134"/>
      <c r="G47" s="134"/>
      <c r="H47" s="134"/>
    </row>
    <row r="48" spans="1:9" ht="15" x14ac:dyDescent="0.25">
      <c r="A48" s="134"/>
      <c r="B48" s="134"/>
      <c r="C48" s="134"/>
      <c r="D48" s="135"/>
      <c r="E48" s="135"/>
      <c r="F48" s="134"/>
      <c r="G48" s="134"/>
      <c r="H48" s="134"/>
      <c r="I48" s="129"/>
    </row>
    <row r="49" spans="1:9" ht="15" x14ac:dyDescent="0.25">
      <c r="A49" s="134"/>
      <c r="B49" s="134"/>
      <c r="C49" s="134"/>
      <c r="D49" s="135"/>
      <c r="E49" s="135"/>
      <c r="F49" s="134"/>
      <c r="G49" s="134"/>
      <c r="H49" s="134"/>
    </row>
    <row r="50" spans="1:9" ht="15" x14ac:dyDescent="0.25">
      <c r="A50" s="134"/>
      <c r="B50" s="134"/>
      <c r="C50" s="134"/>
      <c r="D50" s="135"/>
      <c r="E50" s="135"/>
      <c r="F50" s="134"/>
      <c r="G50" s="134"/>
      <c r="H50" s="134"/>
    </row>
    <row r="51" spans="1:9" ht="15" x14ac:dyDescent="0.25">
      <c r="A51" s="134"/>
      <c r="B51" s="134"/>
      <c r="C51" s="134"/>
      <c r="D51" s="135"/>
      <c r="E51" s="135"/>
      <c r="F51" s="134"/>
      <c r="G51" s="134"/>
      <c r="H51" s="134"/>
      <c r="I51" s="129"/>
    </row>
    <row r="52" spans="1:9" ht="15" x14ac:dyDescent="0.25">
      <c r="A52" s="134"/>
      <c r="B52" s="134"/>
      <c r="C52" s="134"/>
      <c r="D52" s="135"/>
      <c r="E52" s="135"/>
      <c r="F52" s="134"/>
      <c r="G52" s="134"/>
      <c r="H52" s="134"/>
    </row>
    <row r="53" spans="1:9" ht="15" x14ac:dyDescent="0.25">
      <c r="A53" s="134"/>
      <c r="B53" s="134"/>
      <c r="C53" s="134"/>
      <c r="D53" s="135"/>
      <c r="E53" s="135"/>
      <c r="F53" s="134"/>
      <c r="G53" s="134"/>
      <c r="H53" s="134"/>
      <c r="I53" s="129"/>
    </row>
    <row r="54" spans="1:9" ht="15" x14ac:dyDescent="0.25">
      <c r="A54" s="134"/>
      <c r="B54" s="134"/>
      <c r="C54" s="134"/>
      <c r="D54" s="135"/>
      <c r="E54" s="135"/>
      <c r="F54" s="134"/>
      <c r="G54" s="134"/>
      <c r="H54" s="134"/>
      <c r="I54" s="129"/>
    </row>
    <row r="55" spans="1:9" ht="15" x14ac:dyDescent="0.25">
      <c r="A55" s="134"/>
      <c r="B55" s="134"/>
      <c r="C55" s="134"/>
      <c r="D55" s="135"/>
      <c r="E55" s="135"/>
      <c r="F55" s="134"/>
      <c r="G55" s="134"/>
      <c r="H55" s="134"/>
    </row>
    <row r="56" spans="1:9" ht="15" x14ac:dyDescent="0.25">
      <c r="A56" s="134"/>
      <c r="B56" s="134"/>
      <c r="C56" s="134"/>
      <c r="D56" s="135"/>
      <c r="E56" s="135"/>
      <c r="F56" s="134"/>
      <c r="G56" s="134"/>
      <c r="H56" s="134"/>
    </row>
    <row r="57" spans="1:9" ht="15" x14ac:dyDescent="0.25">
      <c r="A57" s="134"/>
      <c r="B57" s="134"/>
      <c r="C57" s="134"/>
      <c r="D57" s="135"/>
      <c r="E57" s="135"/>
      <c r="F57" s="134"/>
      <c r="G57" s="134"/>
      <c r="H57" s="134"/>
    </row>
    <row r="58" spans="1:9" ht="15" x14ac:dyDescent="0.25">
      <c r="A58" s="134"/>
      <c r="B58" s="134"/>
      <c r="C58" s="134"/>
      <c r="D58" s="135"/>
      <c r="E58" s="135"/>
      <c r="F58" s="134"/>
      <c r="G58" s="134"/>
      <c r="H58" s="134"/>
    </row>
    <row r="59" spans="1:9" ht="15" x14ac:dyDescent="0.25">
      <c r="A59" s="134"/>
      <c r="B59" s="134"/>
      <c r="C59" s="134"/>
      <c r="D59" s="135"/>
      <c r="E59" s="135"/>
      <c r="F59" s="134"/>
      <c r="G59" s="134"/>
      <c r="H59" s="134"/>
    </row>
    <row r="60" spans="1:9" ht="15" x14ac:dyDescent="0.25">
      <c r="A60" s="134"/>
      <c r="B60" s="134"/>
      <c r="C60" s="134"/>
      <c r="D60" s="135"/>
      <c r="E60" s="135"/>
      <c r="F60" s="134"/>
      <c r="G60" s="134"/>
      <c r="H60" s="134"/>
    </row>
    <row r="61" spans="1:9" ht="15" x14ac:dyDescent="0.25">
      <c r="A61" s="134"/>
      <c r="B61" s="134"/>
      <c r="C61" s="134"/>
      <c r="D61" s="135"/>
      <c r="E61" s="135"/>
      <c r="F61" s="134"/>
      <c r="G61" s="134"/>
      <c r="H61" s="134"/>
    </row>
    <row r="62" spans="1:9" ht="15" x14ac:dyDescent="0.25">
      <c r="A62" s="134"/>
      <c r="B62" s="134"/>
      <c r="C62" s="134"/>
      <c r="D62" s="135"/>
      <c r="E62" s="135"/>
      <c r="F62" s="134"/>
      <c r="G62" s="134"/>
      <c r="H62" s="134"/>
    </row>
    <row r="63" spans="1:9" ht="15" x14ac:dyDescent="0.25">
      <c r="A63" s="134"/>
      <c r="B63" s="134"/>
      <c r="C63" s="134"/>
      <c r="D63" s="135"/>
      <c r="E63" s="135"/>
      <c r="F63" s="134"/>
      <c r="G63" s="134"/>
      <c r="H63" s="134"/>
    </row>
    <row r="64" spans="1:9" ht="15" x14ac:dyDescent="0.25">
      <c r="A64" s="134"/>
      <c r="B64" s="134"/>
      <c r="C64" s="134"/>
      <c r="D64" s="135"/>
      <c r="E64" s="135"/>
      <c r="F64" s="134"/>
      <c r="G64" s="134"/>
      <c r="H64" s="134"/>
    </row>
    <row r="65" spans="1:8" ht="15" x14ac:dyDescent="0.25">
      <c r="A65" s="134"/>
      <c r="B65" s="134"/>
      <c r="C65" s="134"/>
      <c r="D65" s="135"/>
      <c r="E65" s="135"/>
      <c r="F65" s="134"/>
      <c r="G65" s="134"/>
      <c r="H65" s="134"/>
    </row>
    <row r="66" spans="1:8" ht="15" x14ac:dyDescent="0.25">
      <c r="A66" s="134"/>
      <c r="B66" s="134"/>
      <c r="C66" s="134"/>
      <c r="D66" s="135"/>
      <c r="E66" s="135"/>
      <c r="F66" s="134"/>
      <c r="G66" s="134"/>
      <c r="H66" s="134"/>
    </row>
    <row r="67" spans="1:8" ht="15" x14ac:dyDescent="0.25">
      <c r="A67" s="134"/>
      <c r="B67" s="134"/>
      <c r="C67" s="134"/>
      <c r="D67" s="135"/>
      <c r="E67" s="135"/>
      <c r="F67" s="134"/>
      <c r="G67" s="134"/>
      <c r="H67" s="134"/>
    </row>
  </sheetData>
  <sortState ref="A2:H67">
    <sortCondition ref="C2:C6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דוח</vt:lpstr>
      <vt:lpstr>שקלול הציון</vt:lpstr>
      <vt:lpstr>ליקויים מהמערכת</vt:lpstr>
      <vt:lpstr>דוח!Print_Area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אורח</dc:creator>
  <cp:lastModifiedBy>ran asa</cp:lastModifiedBy>
  <cp:lastPrinted>2018-08-09T11:47:34Z</cp:lastPrinted>
  <dcterms:created xsi:type="dcterms:W3CDTF">2018-07-29T15:33:45Z</dcterms:created>
  <dcterms:modified xsi:type="dcterms:W3CDTF">2018-08-09T12:33:18Z</dcterms:modified>
</cp:coreProperties>
</file>