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 asa\Desktop\jm\JS\משרד העבודה\גדרה מזרח\"/>
    </mc:Choice>
  </mc:AlternateContent>
  <bookViews>
    <workbookView xWindow="0" yWindow="0" windowWidth="25200" windowHeight="11385"/>
  </bookViews>
  <sheets>
    <sheet name="דוח" sheetId="2" r:id="rId1"/>
    <sheet name="שקלול הציון" sheetId="1" r:id="rId2"/>
    <sheet name="ליקויים מהמערכת" sheetId="3" r:id="rId3"/>
  </sheets>
  <definedNames>
    <definedName name="_xlnm.Print_Area" localSheetId="0">דוח!$A$1:$L$72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E74" i="1"/>
  <c r="S4" i="1"/>
  <c r="S48" i="1" l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51" i="1" l="1"/>
  <c r="F36" i="2"/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G51" i="1" s="1"/>
  <c r="C50" i="2" l="1"/>
  <c r="A16" i="2" l="1"/>
  <c r="A17" i="2" s="1"/>
  <c r="A18" i="2" s="1"/>
  <c r="A19" i="2" s="1"/>
  <c r="A20" i="2" s="1"/>
  <c r="A21" i="2" s="1"/>
  <c r="F40" i="2" l="1"/>
  <c r="E8" i="2" s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J13" i="1"/>
  <c r="H12" i="1"/>
  <c r="J11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J22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8" i="1" l="1"/>
  <c r="J9" i="1"/>
  <c r="J4" i="1"/>
  <c r="I36" i="1"/>
  <c r="I10" i="1"/>
  <c r="J28" i="1"/>
  <c r="J27" i="1"/>
  <c r="L46" i="1"/>
  <c r="N47" i="1" s="1"/>
  <c r="L4" i="1"/>
  <c r="I12" i="1"/>
  <c r="J18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4" i="1" l="1"/>
  <c r="Q34" i="1"/>
  <c r="Q39" i="1"/>
  <c r="Q46" i="1"/>
  <c r="Q12" i="1"/>
  <c r="Q30" i="1"/>
  <c r="Q42" i="1"/>
  <c r="D21" i="2" l="1"/>
  <c r="Y21" i="2" s="1"/>
  <c r="D15" i="2"/>
  <c r="Y15" i="2" s="1"/>
  <c r="D19" i="2"/>
  <c r="Y19" i="2" s="1"/>
  <c r="D20" i="2"/>
  <c r="Y20" i="2" s="1"/>
  <c r="D17" i="2"/>
  <c r="Y17" i="2" s="1"/>
  <c r="D16" i="2"/>
  <c r="Y16" i="2" s="1"/>
  <c r="D18" i="2"/>
  <c r="Y18" i="2" s="1"/>
  <c r="D22" i="2" l="1"/>
  <c r="C26" i="2" s="1"/>
  <c r="X21" i="2"/>
  <c r="C21" i="2"/>
  <c r="Y23" i="2" l="1"/>
  <c r="Y22" i="2"/>
  <c r="Y24" i="2" l="1"/>
  <c r="C15" i="2" s="1"/>
  <c r="X18" i="2" l="1"/>
  <c r="C18" i="2"/>
  <c r="X19" i="2"/>
  <c r="C19" i="2"/>
  <c r="C16" i="2"/>
  <c r="C17" i="2"/>
  <c r="X16" i="2"/>
  <c r="C20" i="2"/>
  <c r="X20" i="2"/>
  <c r="X17" i="2"/>
  <c r="X15" i="2"/>
  <c r="C22" i="2" l="1"/>
  <c r="X22" i="2"/>
</calcChain>
</file>

<file path=xl/sharedStrings.xml><?xml version="1.0" encoding="utf-8"?>
<sst xmlns="http://schemas.openxmlformats.org/spreadsheetml/2006/main" count="203" uniqueCount="181">
  <si>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</si>
  <si>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</si>
  <si>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</si>
  <si>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</si>
  <si>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</si>
  <si>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</si>
  <si>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</si>
  <si>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</si>
  <si>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</si>
  <si>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</si>
  <si>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</si>
  <si>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</si>
  <si>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</si>
  <si>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</si>
  <si>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</si>
  <si>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</si>
  <si>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</si>
  <si>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</si>
  <si>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</si>
  <si>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</si>
  <si>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</si>
  <si>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</si>
  <si>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</si>
  <si>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</si>
  <si>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</si>
  <si>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</si>
  <si>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</si>
  <si>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</si>
  <si>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</si>
  <si>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</si>
  <si>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</si>
  <si>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</si>
  <si>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</si>
  <si>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</si>
  <si>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</si>
  <si>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</si>
  <si>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</si>
  <si>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</si>
  <si>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</si>
  <si>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</si>
  <si>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</si>
  <si>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</si>
  <si>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</si>
  <si>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</si>
  <si>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</si>
  <si>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</si>
  <si>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</si>
  <si>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</si>
  <si>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</si>
  <si>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</si>
  <si>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</si>
  <si>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</si>
  <si>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</si>
  <si>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</si>
  <si>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</si>
  <si>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</si>
  <si>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</si>
  <si>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</si>
  <si>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</si>
  <si>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</si>
  <si>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</si>
  <si>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</si>
  <si>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</si>
  <si>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</si>
  <si>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</si>
  <si>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</si>
  <si>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</si>
  <si>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</si>
  <si>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</si>
  <si>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</si>
  <si>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</si>
  <si>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</si>
  <si>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</si>
  <si>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</si>
  <si>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</si>
  <si>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</si>
  <si>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</si>
  <si>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</si>
  <si>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</si>
  <si>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</si>
  <si>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</si>
  <si>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</si>
  <si>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</si>
  <si>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</si>
  <si>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</si>
  <si>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</si>
  <si>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</si>
  <si>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</si>
  <si>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</si>
  <si>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</si>
  <si>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</si>
  <si>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</si>
  <si>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</si>
  <si>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</si>
  <si>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</si>
  <si>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</si>
  <si>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</si>
  <si>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</si>
  <si>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</si>
  <si>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</si>
  <si>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</si>
  <si>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</si>
  <si>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</si>
  <si>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</si>
  <si>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</si>
  <si>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</si>
  <si>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</si>
  <si>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</si>
  <si>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</si>
  <si>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</si>
  <si>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</si>
  <si>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</si>
  <si>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</si>
  <si>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</si>
  <si>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</si>
  <si>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</si>
  <si>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</si>
  <si>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</si>
  <si>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</si>
  <si>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</si>
  <si>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</si>
  <si>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</si>
  <si>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</si>
  <si>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</si>
  <si>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</si>
  <si>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</si>
  <si>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</si>
  <si>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</si>
  <si>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מבנה שירותים תקין (עם דלת)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</si>
  <si>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</si>
  <si>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</si>
  <si>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</si>
  <si>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  הנחת ציוד, חומרי בניין ופסולת על גבי ספי רצפות/מרפסות/מעקות</t>
  </si>
  <si>
    <t>ליקוי ל: שימוש בקסדות מגן</t>
  </si>
  <si>
    <t>ליקוי ל: תקינות הגידור – אזני יד/תיכון, זקפי גידור (מעברים/מרפסות/פיגומים)</t>
  </si>
  <si>
    <t>ליקוי ל: שימוש בנעלי עבודה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</si>
  <si>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</si>
  <si>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</si>
  <si>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</si>
  <si>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</si>
  <si>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</si>
  <si>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</si>
  <si>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</si>
  <si>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</si>
  <si>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</si>
  <si>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</si>
  <si>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</si>
  <si>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</si>
  <si>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</si>
  <si>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</si>
  <si>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</si>
  <si>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</si>
  <si>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</si>
  <si>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</si>
  <si>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</si>
  <si>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</si>
  <si>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</si>
  <si>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</si>
  <si>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</si>
  <si>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איגור וישנבסקי</t>
  </si>
  <si>
    <t>שלד</t>
  </si>
  <si>
    <t>ליקוי ל:   שלטי פרסום על זרועות/תורן העגורן</t>
  </si>
  <si>
    <t>ליקוי ל:   שלטי ע.ע.ב  על גבי זרוע העגורן</t>
  </si>
  <si>
    <t xml:space="preserve">  שלטי ע.ע.ב  על גבי זרוע העגורן</t>
  </si>
  <si>
    <t xml:space="preserve">  שלטי פרסום על זרועות/תורן העגורן</t>
  </si>
  <si>
    <t>חזית צפונית</t>
  </si>
  <si>
    <t>גדרה מזרח ב1 סיור 1</t>
  </si>
  <si>
    <t>ליקוי ל: שימוש ברתמות בטיחות.</t>
  </si>
  <si>
    <t>ליקוי ל: עמידת עובד ישירות על חלקי טפסות/ תבניות.</t>
  </si>
  <si>
    <t>ליקוי ל: צורת הנפת מטענים בעינוב ואביזרי הרמה מתאימים/מאולתרים</t>
  </si>
  <si>
    <t>גדרה</t>
  </si>
  <si>
    <t>790309</t>
  </si>
  <si>
    <t>1/5</t>
  </si>
  <si>
    <t>אורן חסידי</t>
  </si>
  <si>
    <t>בניין 404 חצי א</t>
  </si>
  <si>
    <t>בניין 404 חצי ב</t>
  </si>
  <si>
    <t>אביסרור משה ובניו עבודות פיתוח  בנין ופתוח בע"מ</t>
  </si>
  <si>
    <t>סיכום סיור בפרויקט:  גדרה מזרח</t>
  </si>
  <si>
    <t>80051</t>
  </si>
  <si>
    <t>גדרה מזרח</t>
  </si>
  <si>
    <t>מס' הזמנה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</si>
</sst>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David"/>
      <family val="2"/>
      <charset val="177"/>
    </font>
    <font>
      <sz val="12"/>
      <color rgb="FF252525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79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17" fillId="0" borderId="0" xfId="0" applyFont="1"/>
    <xf numFmtId="0" fontId="18" fillId="0" borderId="42" xfId="0" applyFont="1" applyBorder="1" applyAlignment="1">
      <alignment horizontal="center" vertical="center" wrapText="1" readingOrder="2"/>
    </xf>
    <xf numFmtId="0" fontId="19" fillId="0" borderId="0" xfId="0" applyFont="1"/>
    <xf numFmtId="0" fontId="7" fillId="0" borderId="0" xfId="0" applyFont="1" applyAlignment="1">
      <alignment horizontal="left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3" xfId="0" applyNumberFormat="1" applyFont="1" applyBorder="1" applyAlignment="1"/>
    <xf numFmtId="0" fontId="20" fillId="0" borderId="0" xfId="0" applyFont="1"/>
    <xf numFmtId="0" fontId="7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0" fillId="3" borderId="15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0.35400000000000004</c:v>
                </c:pt>
                <c:pt idx="1">
                  <c:v>0.38400000000000001</c:v>
                </c:pt>
                <c:pt idx="2">
                  <c:v>0</c:v>
                </c:pt>
                <c:pt idx="3">
                  <c:v>9.4E-2</c:v>
                </c:pt>
                <c:pt idx="4">
                  <c:v>7.400000000000001E-2</c:v>
                </c:pt>
                <c:pt idx="5">
                  <c:v>9.4E-2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9.5388888888888884E-2</c:v>
                </c:pt>
                <c:pt idx="1">
                  <c:v>0.36666666666666675</c:v>
                </c:pt>
                <c:pt idx="2">
                  <c:v>0</c:v>
                </c:pt>
                <c:pt idx="3">
                  <c:v>7.6666666666666675E-2</c:v>
                </c:pt>
                <c:pt idx="4">
                  <c:v>5.6666666666666664E-2</c:v>
                </c:pt>
                <c:pt idx="5">
                  <c:v>2.1904761904761906E-2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06054432"/>
        <c:axId val="406055216"/>
      </c:barChart>
      <c:catAx>
        <c:axId val="4060544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06055216"/>
        <c:crosses val="autoZero"/>
        <c:auto val="1"/>
        <c:lblAlgn val="ctr"/>
        <c:lblOffset val="100"/>
        <c:noMultiLvlLbl val="0"/>
      </c:catAx>
      <c:valAx>
        <c:axId val="4060552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0605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=""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=""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=""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=""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=""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=""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=""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=""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17" totalsRowShown="0">
  <autoFilter ref="A1:I17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rightToLeft="1" tabSelected="1" zoomScale="85" zoomScaleNormal="85" workbookViewId="0">
      <selection activeCell="J7" sqref="J7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177</v>
      </c>
      <c r="B2" s="100"/>
      <c r="C2" s="99"/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68</v>
      </c>
      <c r="C6" t="s">
        <v>159</v>
      </c>
      <c r="D6" s="49" t="s">
        <v>98</v>
      </c>
      <c r="E6">
        <v>314361015</v>
      </c>
      <c r="G6" s="49" t="s">
        <v>65</v>
      </c>
      <c r="H6" s="51">
        <v>43321</v>
      </c>
      <c r="I6" s="49" t="s">
        <v>66</v>
      </c>
      <c r="J6" s="52">
        <v>0.4375</v>
      </c>
      <c r="R6" s="52"/>
      <c r="X6" s="61"/>
    </row>
    <row r="7" spans="1:25" ht="15.75" customHeight="1" x14ac:dyDescent="0.25">
      <c r="B7" s="49" t="s">
        <v>67</v>
      </c>
      <c r="D7" s="49" t="s">
        <v>98</v>
      </c>
      <c r="F7" s="134" t="s">
        <v>73</v>
      </c>
      <c r="G7" s="134"/>
      <c r="H7" s="128" t="s">
        <v>173</v>
      </c>
      <c r="I7" s="49" t="s">
        <v>75</v>
      </c>
      <c r="J7">
        <v>239629</v>
      </c>
      <c r="R7" s="52"/>
      <c r="X7" s="61"/>
    </row>
    <row r="8" spans="1:25" ht="15" x14ac:dyDescent="0.25">
      <c r="B8" s="49" t="s">
        <v>69</v>
      </c>
      <c r="C8" s="53" t="s">
        <v>172</v>
      </c>
      <c r="D8" s="49" t="s">
        <v>72</v>
      </c>
      <c r="E8">
        <f>F40</f>
        <v>4200</v>
      </c>
      <c r="G8" s="49" t="s">
        <v>76</v>
      </c>
      <c r="H8" s="53" t="s">
        <v>176</v>
      </c>
      <c r="I8" s="49" t="s">
        <v>78</v>
      </c>
      <c r="J8" s="126">
        <v>513468413</v>
      </c>
      <c r="X8" s="61"/>
    </row>
    <row r="9" spans="1:25" ht="63" x14ac:dyDescent="0.25">
      <c r="B9" s="49" t="s">
        <v>70</v>
      </c>
      <c r="C9" s="53" t="s">
        <v>171</v>
      </c>
      <c r="D9" s="49" t="s">
        <v>71</v>
      </c>
      <c r="E9" s="49">
        <v>803110</v>
      </c>
      <c r="G9" s="49" t="s">
        <v>77</v>
      </c>
      <c r="H9" s="127" t="s">
        <v>176</v>
      </c>
      <c r="I9" s="49" t="s">
        <v>79</v>
      </c>
      <c r="J9" s="133">
        <v>510778087</v>
      </c>
      <c r="X9" s="61"/>
    </row>
    <row r="10" spans="1:25" ht="15" x14ac:dyDescent="0.25">
      <c r="B10" s="77" t="s">
        <v>113</v>
      </c>
      <c r="C10" s="53" t="s">
        <v>178</v>
      </c>
      <c r="D10" s="77" t="s">
        <v>114</v>
      </c>
      <c r="E10">
        <v>92</v>
      </c>
      <c r="G10" s="77" t="s">
        <v>110</v>
      </c>
      <c r="H10" t="s">
        <v>170</v>
      </c>
      <c r="I10" s="77" t="s">
        <v>112</v>
      </c>
      <c r="J10">
        <v>42</v>
      </c>
      <c r="X10" s="61"/>
    </row>
    <row r="11" spans="1:25" ht="15" x14ac:dyDescent="0.25">
      <c r="B11" s="129" t="s">
        <v>180</v>
      </c>
      <c r="C11">
        <v>4501612599</v>
      </c>
      <c r="D11" s="62"/>
      <c r="G11" s="77" t="s">
        <v>111</v>
      </c>
      <c r="H11" s="53" t="s">
        <v>179</v>
      </c>
      <c r="X11" s="61"/>
    </row>
    <row r="12" spans="1:25" ht="18" x14ac:dyDescent="0.25">
      <c r="A12" s="113" t="s">
        <v>109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55</v>
      </c>
      <c r="C14" s="82" t="s">
        <v>94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>IF(Y15="",$Y$24+W15,0)</f>
        <v>0.35400000000000004</v>
      </c>
      <c r="D15" s="68">
        <f>'שקלול הציון'!Q4</f>
        <v>9.5388888888888884E-2</v>
      </c>
      <c r="U15" s="2"/>
      <c r="V15" s="1"/>
      <c r="W15" s="87">
        <v>0.33</v>
      </c>
      <c r="X15" s="88">
        <f t="shared" ref="X15:X21" si="0">IF(Y15="",$Y$24,0)</f>
        <v>2.4E-2</v>
      </c>
      <c r="Y15" s="89" t="str">
        <f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ref="C16:C21" si="1">IF(Y16="",$Y$24+W16,0)</f>
        <v>0.38400000000000001</v>
      </c>
      <c r="D16" s="68">
        <f>'שקלול הציון'!Q12</f>
        <v>0.36666666666666675</v>
      </c>
      <c r="U16" s="2"/>
      <c r="V16" s="1"/>
      <c r="W16" s="90">
        <v>0.36</v>
      </c>
      <c r="X16" s="91">
        <f t="shared" si="0"/>
        <v>2.4E-2</v>
      </c>
      <c r="Y16" s="92" t="str">
        <f t="shared" ref="Y16:Y21" si="2">IF(D16=0,W16,"")</f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1"/>
        <v>0</v>
      </c>
      <c r="D17" s="68">
        <f>'שקלול הציון'!Q30</f>
        <v>0</v>
      </c>
      <c r="U17" s="2"/>
      <c r="V17" s="1"/>
      <c r="W17" s="90">
        <v>0.08</v>
      </c>
      <c r="X17" s="91">
        <f t="shared" si="0"/>
        <v>0</v>
      </c>
      <c r="Y17" s="92">
        <f t="shared" si="2"/>
        <v>0.08</v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1"/>
        <v>9.4E-2</v>
      </c>
      <c r="D18" s="68">
        <f>'שקלול הציון'!Q34</f>
        <v>7.6666666666666675E-2</v>
      </c>
      <c r="U18" s="2"/>
      <c r="V18" s="1"/>
      <c r="W18" s="90">
        <v>7.0000000000000007E-2</v>
      </c>
      <c r="X18" s="91">
        <f t="shared" si="0"/>
        <v>2.4E-2</v>
      </c>
      <c r="Y18" s="92" t="str">
        <f t="shared" si="2"/>
        <v/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1"/>
        <v>7.400000000000001E-2</v>
      </c>
      <c r="D19" s="68">
        <f>'שקלול הציון'!Q39</f>
        <v>5.6666666666666664E-2</v>
      </c>
      <c r="U19" s="2"/>
      <c r="V19" s="1"/>
      <c r="W19" s="90">
        <v>0.05</v>
      </c>
      <c r="X19" s="91">
        <f t="shared" si="0"/>
        <v>2.4E-2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1"/>
        <v>9.4E-2</v>
      </c>
      <c r="D20" s="68">
        <f>'שקלול הציון'!Q42</f>
        <v>2.1904761904761906E-2</v>
      </c>
      <c r="U20" s="2"/>
      <c r="V20" s="1"/>
      <c r="W20" s="90">
        <v>7.0000000000000007E-2</v>
      </c>
      <c r="X20" s="91">
        <f t="shared" si="0"/>
        <v>2.4E-2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1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0"/>
        <v>0</v>
      </c>
      <c r="Y21" s="92">
        <f t="shared" si="2"/>
        <v>0.04</v>
      </c>
    </row>
    <row r="22" spans="1:25" ht="15" thickBot="1" x14ac:dyDescent="0.25">
      <c r="A22" s="102"/>
      <c r="B22" s="102" t="s">
        <v>95</v>
      </c>
      <c r="C22" s="103">
        <f>SUM(C15:C21)</f>
        <v>0.99999999999999989</v>
      </c>
      <c r="D22" s="104">
        <f>SUM(D15:D21)</f>
        <v>0.61729365079365084</v>
      </c>
      <c r="U22" s="2"/>
      <c r="V22" s="1"/>
      <c r="W22" s="3"/>
      <c r="X22" s="91">
        <f>SUM(X15:X21)</f>
        <v>0.12</v>
      </c>
      <c r="Y22" s="93">
        <f>SUM(Y15:Y21)</f>
        <v>0.12</v>
      </c>
    </row>
    <row r="23" spans="1:25" ht="15" thickBot="1" x14ac:dyDescent="0.25">
      <c r="U23" s="2"/>
      <c r="V23" s="1"/>
      <c r="W23" s="3"/>
      <c r="X23" s="63"/>
      <c r="Y23" s="92">
        <f>COUNT(Y15:Y21)</f>
        <v>2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2.4E-2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74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80</v>
      </c>
      <c r="C35" s="79" t="s">
        <v>81</v>
      </c>
      <c r="D35" s="79" t="s">
        <v>82</v>
      </c>
      <c r="E35" s="79" t="s">
        <v>84</v>
      </c>
      <c r="F35" s="80" t="s">
        <v>83</v>
      </c>
    </row>
    <row r="36" spans="1:12" x14ac:dyDescent="0.2">
      <c r="B36" s="70" t="s">
        <v>174</v>
      </c>
      <c r="C36" s="71" t="s">
        <v>160</v>
      </c>
      <c r="D36" s="71">
        <v>4</v>
      </c>
      <c r="E36" s="71">
        <v>600</v>
      </c>
      <c r="F36" s="72">
        <f>E36*D36</f>
        <v>2400</v>
      </c>
    </row>
    <row r="37" spans="1:12" x14ac:dyDescent="0.2">
      <c r="B37" s="70" t="s">
        <v>175</v>
      </c>
      <c r="C37" s="71" t="s">
        <v>160</v>
      </c>
      <c r="D37" s="71">
        <v>2.5</v>
      </c>
      <c r="E37" s="71">
        <v>720</v>
      </c>
      <c r="F37" s="72">
        <f>E37*D37</f>
        <v>1800</v>
      </c>
    </row>
    <row r="38" spans="1:12" x14ac:dyDescent="0.2">
      <c r="B38" s="70"/>
      <c r="C38" s="71"/>
      <c r="D38" s="71"/>
      <c r="E38" s="71"/>
      <c r="F38" s="72"/>
    </row>
    <row r="39" spans="1:12" ht="15" thickBot="1" x14ac:dyDescent="0.25">
      <c r="B39" s="69"/>
      <c r="C39" s="73"/>
      <c r="D39" s="73"/>
      <c r="E39" s="73"/>
      <c r="F39" s="74"/>
    </row>
    <row r="40" spans="1:12" ht="15.75" thickBot="1" x14ac:dyDescent="0.3">
      <c r="C40" s="49"/>
      <c r="D40" s="53"/>
      <c r="E40" s="105" t="s">
        <v>95</v>
      </c>
      <c r="F40" s="106">
        <f>SUM(F36:F39)</f>
        <v>4200</v>
      </c>
    </row>
    <row r="41" spans="1:12" ht="15" x14ac:dyDescent="0.25">
      <c r="C41" s="77"/>
      <c r="D41" s="53"/>
      <c r="F41" s="77"/>
    </row>
    <row r="42" spans="1:12" ht="18" x14ac:dyDescent="0.25">
      <c r="A42" s="113" t="s">
        <v>85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ht="9" customHeight="1" thickBot="1" x14ac:dyDescent="0.3">
      <c r="A43" s="76"/>
      <c r="E43" s="48"/>
    </row>
    <row r="44" spans="1:12" ht="15" x14ac:dyDescent="0.25">
      <c r="B44" s="84" t="s">
        <v>86</v>
      </c>
      <c r="C44" s="111" t="s">
        <v>87</v>
      </c>
      <c r="D44" s="85" t="s">
        <v>88</v>
      </c>
      <c r="E44" s="48"/>
    </row>
    <row r="45" spans="1:12" ht="15" x14ac:dyDescent="0.25">
      <c r="B45" s="70" t="s">
        <v>89</v>
      </c>
      <c r="C45" s="108">
        <v>1</v>
      </c>
      <c r="D45" s="72" t="s">
        <v>165</v>
      </c>
      <c r="E45" s="48"/>
    </row>
    <row r="46" spans="1:12" ht="15" x14ac:dyDescent="0.25">
      <c r="B46" s="70" t="s">
        <v>90</v>
      </c>
      <c r="C46" s="108"/>
      <c r="D46" s="72"/>
      <c r="E46" s="48"/>
    </row>
    <row r="47" spans="1:12" ht="15" x14ac:dyDescent="0.25">
      <c r="B47" s="70" t="s">
        <v>91</v>
      </c>
      <c r="C47" s="108"/>
      <c r="D47" s="72"/>
      <c r="E47" s="48"/>
    </row>
    <row r="48" spans="1:12" ht="15" x14ac:dyDescent="0.25">
      <c r="B48" s="70" t="s">
        <v>92</v>
      </c>
      <c r="C48" s="108"/>
      <c r="D48" s="72"/>
      <c r="E48" s="48"/>
    </row>
    <row r="49" spans="1:12" ht="15.75" thickBot="1" x14ac:dyDescent="0.3">
      <c r="B49" s="69" t="s">
        <v>93</v>
      </c>
      <c r="C49" s="109"/>
      <c r="D49" s="74"/>
      <c r="E49" s="48"/>
    </row>
    <row r="50" spans="1:12" ht="15.75" thickBot="1" x14ac:dyDescent="0.3">
      <c r="B50" s="107" t="s">
        <v>107</v>
      </c>
      <c r="C50" s="110">
        <f>SUM(C45:C49)</f>
        <v>1</v>
      </c>
      <c r="E50" s="48"/>
    </row>
    <row r="51" spans="1:12" ht="15" x14ac:dyDescent="0.25">
      <c r="C51" s="77"/>
      <c r="E51" s="48"/>
    </row>
    <row r="52" spans="1:12" ht="15" x14ac:dyDescent="0.25">
      <c r="E52" s="48"/>
    </row>
    <row r="53" spans="1:12" ht="18" x14ac:dyDescent="0.25">
      <c r="A53" s="113" t="s">
        <v>97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7.5" customHeight="1" thickBot="1" x14ac:dyDescent="0.3">
      <c r="A54" s="76"/>
      <c r="B54" s="48"/>
      <c r="E54" s="48"/>
    </row>
    <row r="55" spans="1:12" x14ac:dyDescent="0.2">
      <c r="B55" s="135"/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2" x14ac:dyDescent="0.2">
      <c r="B56" s="138"/>
      <c r="C56" s="139"/>
      <c r="D56" s="139"/>
      <c r="E56" s="139"/>
      <c r="F56" s="139"/>
      <c r="G56" s="139"/>
      <c r="H56" s="139"/>
      <c r="I56" s="139"/>
      <c r="J56" s="139"/>
      <c r="K56" s="140"/>
    </row>
    <row r="57" spans="1:12" x14ac:dyDescent="0.2">
      <c r="B57" s="138"/>
      <c r="C57" s="139"/>
      <c r="D57" s="139"/>
      <c r="E57" s="139"/>
      <c r="F57" s="139"/>
      <c r="G57" s="139"/>
      <c r="H57" s="139"/>
      <c r="I57" s="139"/>
      <c r="J57" s="139"/>
      <c r="K57" s="140"/>
    </row>
    <row r="58" spans="1:12" x14ac:dyDescent="0.2">
      <c r="B58" s="138"/>
      <c r="C58" s="139"/>
      <c r="D58" s="139"/>
      <c r="E58" s="139"/>
      <c r="F58" s="139"/>
      <c r="G58" s="139"/>
      <c r="H58" s="139"/>
      <c r="I58" s="139"/>
      <c r="J58" s="139"/>
      <c r="K58" s="140"/>
    </row>
    <row r="59" spans="1:12" x14ac:dyDescent="0.2">
      <c r="B59" s="138"/>
      <c r="C59" s="139"/>
      <c r="D59" s="139"/>
      <c r="E59" s="139"/>
      <c r="F59" s="139"/>
      <c r="G59" s="139"/>
      <c r="H59" s="139"/>
      <c r="I59" s="139"/>
      <c r="J59" s="139"/>
      <c r="K59" s="140"/>
    </row>
    <row r="60" spans="1:12" ht="15" thickBot="1" x14ac:dyDescent="0.25">
      <c r="B60" s="141"/>
      <c r="C60" s="142"/>
      <c r="D60" s="142"/>
      <c r="E60" s="142"/>
      <c r="F60" s="142"/>
      <c r="G60" s="142"/>
      <c r="H60" s="142"/>
      <c r="I60" s="142"/>
      <c r="J60" s="142"/>
      <c r="K60" s="143"/>
    </row>
    <row r="62" spans="1:12" ht="18" x14ac:dyDescent="0.25">
      <c r="A62" s="113" t="s">
        <v>101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1:12" ht="9" customHeight="1" x14ac:dyDescent="0.2"/>
    <row r="64" spans="1:12" s="98" customFormat="1" ht="21.75" customHeight="1" x14ac:dyDescent="0.2">
      <c r="B64" s="98" t="s">
        <v>102</v>
      </c>
      <c r="G64" s="98" t="s">
        <v>104</v>
      </c>
    </row>
    <row r="65" spans="1:12" s="98" customFormat="1" ht="21.75" customHeight="1" x14ac:dyDescent="0.2">
      <c r="B65" s="98" t="s">
        <v>100</v>
      </c>
      <c r="G65" s="98" t="s">
        <v>105</v>
      </c>
    </row>
    <row r="66" spans="1:12" s="98" customFormat="1" ht="21.75" customHeight="1" x14ac:dyDescent="0.2">
      <c r="B66" s="98" t="s">
        <v>103</v>
      </c>
      <c r="G66" s="98" t="s">
        <v>106</v>
      </c>
    </row>
    <row r="69" spans="1:12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8" x14ac:dyDescent="0.25">
      <c r="A70" s="100"/>
      <c r="B70" s="100"/>
      <c r="C70" s="99"/>
      <c r="D70" s="101"/>
      <c r="E70" s="99"/>
      <c r="F70" s="99"/>
      <c r="G70" s="99"/>
      <c r="H70" s="99"/>
      <c r="I70" s="99"/>
      <c r="J70" s="99"/>
      <c r="K70" s="99"/>
      <c r="L70" s="99"/>
    </row>
    <row r="71" spans="1:12" x14ac:dyDescent="0.2">
      <c r="A71" s="99" t="s">
        <v>99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</sheetData>
  <mergeCells count="2">
    <mergeCell ref="F7:G7"/>
    <mergeCell ref="B55:K60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rightToLeft="1" workbookViewId="0">
      <selection activeCell="E43" sqref="E43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19" ht="18" x14ac:dyDescent="0.25">
      <c r="A1" s="86" t="s">
        <v>115</v>
      </c>
      <c r="B1" s="132" t="s">
        <v>166</v>
      </c>
      <c r="C1" s="50"/>
    </row>
    <row r="2" spans="1:19" ht="15.75" thickBot="1" x14ac:dyDescent="0.3">
      <c r="B2" s="49"/>
      <c r="C2" s="53"/>
      <c r="D2" s="48"/>
      <c r="Q2" s="52"/>
    </row>
    <row r="3" spans="1:19" ht="45.75" thickBot="1" x14ac:dyDescent="0.3">
      <c r="A3" s="11" t="s">
        <v>55</v>
      </c>
      <c r="B3" s="12" t="s">
        <v>62</v>
      </c>
      <c r="C3" s="12" t="s">
        <v>61</v>
      </c>
      <c r="D3" s="12" t="s">
        <v>63</v>
      </c>
      <c r="E3" s="12" t="s">
        <v>60</v>
      </c>
      <c r="F3" s="12" t="s">
        <v>64</v>
      </c>
      <c r="G3" s="12" t="s">
        <v>56</v>
      </c>
      <c r="H3" s="12"/>
      <c r="I3" s="12"/>
      <c r="J3" s="12" t="s">
        <v>57</v>
      </c>
      <c r="K3" s="12"/>
      <c r="L3" s="12"/>
      <c r="M3" s="12"/>
      <c r="N3" s="12" t="s">
        <v>59</v>
      </c>
      <c r="O3" s="12"/>
      <c r="P3" s="12"/>
      <c r="Q3" s="13" t="s">
        <v>58</v>
      </c>
    </row>
    <row r="4" spans="1:19" ht="15" x14ac:dyDescent="0.25">
      <c r="A4" s="153" t="s">
        <v>0</v>
      </c>
      <c r="B4" s="156">
        <v>0.33</v>
      </c>
      <c r="C4" s="171" t="s">
        <v>7</v>
      </c>
      <c r="D4" s="173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"))/100)</f>
        <v>0.5</v>
      </c>
      <c r="H4" s="16" t="str">
        <f t="shared" ref="H4:H48" si="0">IF(G4="",F4,"")</f>
        <v/>
      </c>
      <c r="I4" s="147">
        <f>SUM(H4:H5)</f>
        <v>0</v>
      </c>
      <c r="J4" s="17">
        <f>IFERROR(IF(G4="","",(F4+I$4/COUNTA(G$4:G$5))*G4),F4*G4)</f>
        <v>3.5000000000000003E-2</v>
      </c>
      <c r="K4" s="144" t="str">
        <f>IF(COUNTBLANK(G4:G5)=COUNTA(F4:F5),D4,"")</f>
        <v/>
      </c>
      <c r="L4" s="147">
        <f>IFERROR(SUM(K4:K11)/SUM(M4:M11),0)</f>
        <v>1.3333333333333334E-2</v>
      </c>
      <c r="M4" s="144">
        <f>IF(K4="",1,"")</f>
        <v>1</v>
      </c>
      <c r="N4" s="164">
        <f>SUM(J4:J5)/D4*L$4+SUM(J4:J5)</f>
        <v>7.3666666666666672E-2</v>
      </c>
      <c r="O4" s="144">
        <f>IF(L4&gt;0,1,IF(SUM(M4:M11)=4,1,""))</f>
        <v>1</v>
      </c>
      <c r="P4" s="147" t="str">
        <f>IF(O4="",B4,"")</f>
        <v/>
      </c>
      <c r="Q4" s="170">
        <f>SUM(P4:P48)/SUM(O4:O48)*(SUM(N4:N11)/B4)+SUM(N4:N11)</f>
        <v>9.5388888888888884E-2</v>
      </c>
      <c r="S4">
        <f>COUNTIFS('ליקויים מהמערכת'!$G:$G,$B$1,'ליקויים מהמערכת'!$C:$C,REPLACE(E4,1,0,"ליקוי ל: "))</f>
        <v>1</v>
      </c>
    </row>
    <row r="5" spans="1:19" ht="30" x14ac:dyDescent="0.25">
      <c r="A5" s="154"/>
      <c r="B5" s="157"/>
      <c r="C5" s="172"/>
      <c r="D5" s="168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"))/100)</f>
        <v>1</v>
      </c>
      <c r="H5" s="20" t="str">
        <f t="shared" si="0"/>
        <v/>
      </c>
      <c r="I5" s="148"/>
      <c r="J5" s="21">
        <f>IFERROR(IF(G5="","",(F5+I$4/COUNT(G$4:G$5))*G5),F5*G5)</f>
        <v>0.03</v>
      </c>
      <c r="K5" s="145"/>
      <c r="L5" s="148"/>
      <c r="M5" s="145"/>
      <c r="N5" s="162"/>
      <c r="O5" s="145"/>
      <c r="P5" s="148"/>
      <c r="Q5" s="151"/>
      <c r="S5">
        <f>COUNTIFS('ליקויים מהמערכת'!$G:$G,$B$1,'ליקויים מהמערכת'!$C:$C,REPLACE(E5,1,0,"ליקוי ל: "))</f>
        <v>1</v>
      </c>
    </row>
    <row r="6" spans="1:19" ht="15" x14ac:dyDescent="0.25">
      <c r="A6" s="154"/>
      <c r="B6" s="157"/>
      <c r="C6" s="174" t="s">
        <v>8</v>
      </c>
      <c r="D6" s="176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"))/100)</f>
        <v>0</v>
      </c>
      <c r="H6" s="20" t="str">
        <f t="shared" si="0"/>
        <v/>
      </c>
      <c r="I6" s="148">
        <f>SUM(H6:H7)</f>
        <v>0.04</v>
      </c>
      <c r="J6" s="21">
        <f>IFERROR(IF(G6="","",(F6+I$6/COUNT(G$6:G$7))*G6),F6*G6)</f>
        <v>0</v>
      </c>
      <c r="K6" s="145" t="str">
        <f>IF(COUNTBLANK(G6:G7)=COUNTA(F6:F7),D6,"")</f>
        <v/>
      </c>
      <c r="L6" s="148"/>
      <c r="M6" s="145">
        <f>IF(K6="",1,"")</f>
        <v>1</v>
      </c>
      <c r="N6" s="162">
        <f>SUM(J6:J7)/D6*L$4+SUM(J6:J7)</f>
        <v>0</v>
      </c>
      <c r="O6" s="145"/>
      <c r="P6" s="148"/>
      <c r="Q6" s="151"/>
      <c r="S6">
        <f>COUNTIFS('ליקויים מהמערכת'!$G:$G,$B$1,'ליקויים מהמערכת'!$C:$C,REPLACE(E6,1,0,"ליקוי ל: "))</f>
        <v>1</v>
      </c>
    </row>
    <row r="7" spans="1:19" ht="15" x14ac:dyDescent="0.25">
      <c r="A7" s="154"/>
      <c r="B7" s="157"/>
      <c r="C7" s="175"/>
      <c r="D7" s="177"/>
      <c r="E7" s="125" t="s">
        <v>136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"))/100)</f>
        <v/>
      </c>
      <c r="H7" s="20">
        <f t="shared" si="0"/>
        <v>0.04</v>
      </c>
      <c r="I7" s="148"/>
      <c r="J7" s="21" t="str">
        <f>IFERROR(IF(G7="","",(F7+I$6/COUNT(G$6:G$7))*G7),F7*G7)</f>
        <v/>
      </c>
      <c r="K7" s="145"/>
      <c r="L7" s="148"/>
      <c r="M7" s="145"/>
      <c r="N7" s="162"/>
      <c r="O7" s="145"/>
      <c r="P7" s="148"/>
      <c r="Q7" s="151"/>
      <c r="S7">
        <f>COUNTIFS('ליקויים מהמערכת'!$G:$G,$B$1,'ליקויים מהמערכת'!$C:$C,REPLACE(E7,1,0,"ליקוי ל: "))</f>
        <v>0</v>
      </c>
    </row>
    <row r="8" spans="1:19" ht="15" x14ac:dyDescent="0.25">
      <c r="A8" s="154"/>
      <c r="B8" s="157"/>
      <c r="C8" s="172" t="s">
        <v>9</v>
      </c>
      <c r="D8" s="168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"))/100)</f>
        <v>0.25</v>
      </c>
      <c r="H8" s="20" t="str">
        <f t="shared" si="0"/>
        <v/>
      </c>
      <c r="I8" s="148">
        <f>SUM(H8:H9)</f>
        <v>0</v>
      </c>
      <c r="J8" s="21">
        <f>IFERROR(IF(G8="","",(F8+I$8/COUNT(G$8:G$9))*G8),F8*G8)</f>
        <v>1.7500000000000002E-2</v>
      </c>
      <c r="K8" s="145" t="str">
        <f>IF(COUNTBLANK(G8:G9)=COUNTA(F8:F9),D8,"")</f>
        <v/>
      </c>
      <c r="L8" s="148"/>
      <c r="M8" s="145">
        <f>IF(K8="",1,"")</f>
        <v>1</v>
      </c>
      <c r="N8" s="162">
        <f>SUM(J8:J9)/D8*L$4+SUM(J8:J9)</f>
        <v>1.9833333333333335E-2</v>
      </c>
      <c r="O8" s="145"/>
      <c r="P8" s="148"/>
      <c r="Q8" s="151"/>
      <c r="S8">
        <f>COUNTIFS('ליקויים מהמערכת'!$G:$G,$B$1,'ליקויים מהמערכת'!$C:$C,REPLACE(E8,1,0,"ליקוי ל: "))</f>
        <v>1</v>
      </c>
    </row>
    <row r="9" spans="1:19" ht="30" x14ac:dyDescent="0.25">
      <c r="A9" s="154"/>
      <c r="B9" s="157"/>
      <c r="C9" s="172"/>
      <c r="D9" s="168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"))/100)</f>
        <v>0</v>
      </c>
      <c r="H9" s="20" t="str">
        <f t="shared" si="0"/>
        <v/>
      </c>
      <c r="I9" s="148"/>
      <c r="J9" s="21">
        <f>IFERROR(IF(G9="","",(F9+I$8/COUNT(G$8:G$9))*G9),F9*G9)</f>
        <v>0</v>
      </c>
      <c r="K9" s="145"/>
      <c r="L9" s="148"/>
      <c r="M9" s="145"/>
      <c r="N9" s="162"/>
      <c r="O9" s="145"/>
      <c r="P9" s="148"/>
      <c r="Q9" s="151"/>
      <c r="S9">
        <f>COUNTIFS('ליקויים מהמערכת'!$G:$G,$B$1,'ליקויים מהמערכת'!$C:$C,REPLACE(E9,1,0,"ליקוי ל: "))</f>
        <v>1</v>
      </c>
    </row>
    <row r="10" spans="1:19" ht="15" x14ac:dyDescent="0.25">
      <c r="A10" s="154"/>
      <c r="B10" s="157"/>
      <c r="C10" s="172" t="s">
        <v>10</v>
      </c>
      <c r="D10" s="168">
        <v>0.04</v>
      </c>
      <c r="E10" s="4" t="s">
        <v>137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"))/100)</f>
        <v/>
      </c>
      <c r="H10" s="20">
        <f t="shared" si="0"/>
        <v>0.02</v>
      </c>
      <c r="I10" s="148">
        <f>SUM(H10:H11)</f>
        <v>0.04</v>
      </c>
      <c r="J10" s="21" t="str">
        <f>IFERROR(IF(G10="","",(F10+I$10/COUNT(G$10:G$11))*G10),F10*G10)</f>
        <v/>
      </c>
      <c r="K10" s="148">
        <f>IF(COUNTBLANK(G10:G11)=COUNTA(F10:F11),D10,"")</f>
        <v>0.04</v>
      </c>
      <c r="L10" s="148"/>
      <c r="M10" s="145" t="str">
        <f>IF(K10="",1,"")</f>
        <v/>
      </c>
      <c r="N10" s="162">
        <f>SUM(J10:J11)/D10*L$4+SUM(J10:J11)</f>
        <v>0</v>
      </c>
      <c r="O10" s="145"/>
      <c r="P10" s="148"/>
      <c r="Q10" s="151"/>
      <c r="S10">
        <f>COUNTIFS('ליקויים מהמערכת'!$G:$G,$B$1,'ליקויים מהמערכת'!$C:$C,REPLACE(E10,1,0,"ליקוי ל: "))</f>
        <v>0</v>
      </c>
    </row>
    <row r="11" spans="1:19" ht="15.75" thickBot="1" x14ac:dyDescent="0.3">
      <c r="A11" s="155"/>
      <c r="B11" s="158"/>
      <c r="C11" s="178"/>
      <c r="D11" s="169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"))/100)</f>
        <v/>
      </c>
      <c r="H11" s="26">
        <f t="shared" si="0"/>
        <v>0.02</v>
      </c>
      <c r="I11" s="149"/>
      <c r="J11" s="27" t="str">
        <f>IFERROR(IF(G11="","",(F11+I$10/COUNT(G$10:G$11))*G11),F11*G11)</f>
        <v/>
      </c>
      <c r="K11" s="149"/>
      <c r="L11" s="149"/>
      <c r="M11" s="146"/>
      <c r="N11" s="163"/>
      <c r="O11" s="146"/>
      <c r="P11" s="149"/>
      <c r="Q11" s="152"/>
      <c r="S11">
        <f>COUNTIFS('ליקויים מהמערכת'!$G:$G,$B$1,'ליקויים מהמערכת'!$C:$C,REPLACE(E11,1,0,"ליקוי ל: "))</f>
        <v>0</v>
      </c>
    </row>
    <row r="12" spans="1:19" ht="30" x14ac:dyDescent="0.25">
      <c r="A12" s="153" t="s">
        <v>1</v>
      </c>
      <c r="B12" s="156">
        <v>0.36</v>
      </c>
      <c r="C12" s="171" t="s">
        <v>11</v>
      </c>
      <c r="D12" s="173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"))/100)</f>
        <v/>
      </c>
      <c r="H12" s="16">
        <f t="shared" si="0"/>
        <v>0.03</v>
      </c>
      <c r="I12" s="147">
        <f>SUM(H12:H20)</f>
        <v>0.21999999999999995</v>
      </c>
      <c r="J12" s="28" t="str">
        <f t="shared" ref="J12:J20" si="1">IFERROR(IF(G12="","",(F12+I$12/COUNT(G$12:G$20))*G12),F12*G12)</f>
        <v/>
      </c>
      <c r="K12" s="147">
        <f>IF(COUNTBLANK(G12:G20)=COUNTA(F12:F20),D12,"")</f>
        <v>0.22</v>
      </c>
      <c r="L12" s="147">
        <f>IFERROR(SUM(K12:K29)/SUM(M12:M29),0)</f>
        <v>0.33000000000000007</v>
      </c>
      <c r="M12" s="144" t="str">
        <f>IF(K12="",1,"")</f>
        <v/>
      </c>
      <c r="N12" s="164">
        <f>SUM(J12:J20)/D12*L12+SUM(J12:J20)</f>
        <v>0</v>
      </c>
      <c r="O12" s="165">
        <f>IF(L12&gt;0,1,IF(SUM(M12:M29)=6,1,""))</f>
        <v>1</v>
      </c>
      <c r="P12" s="147" t="str">
        <f>IF(O12="",B12,"")</f>
        <v/>
      </c>
      <c r="Q12" s="150">
        <f>SUM(P4:P48)/SUM(O4:O48)*(SUM(N12:N29)/B12)+SUM(N12:N29)</f>
        <v>0.36666666666666675</v>
      </c>
      <c r="S12">
        <f>COUNTIFS('ליקויים מהמערכת'!$G:$G,$B$1,'ליקויים מהמערכת'!$C:$C,REPLACE(E12,1,0,"ליקוי ל: "))</f>
        <v>0</v>
      </c>
    </row>
    <row r="13" spans="1:19" ht="15" x14ac:dyDescent="0.25">
      <c r="A13" s="154"/>
      <c r="B13" s="157"/>
      <c r="C13" s="172"/>
      <c r="D13" s="168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"))/100)</f>
        <v/>
      </c>
      <c r="H13" s="20">
        <f t="shared" si="0"/>
        <v>0.03</v>
      </c>
      <c r="I13" s="148"/>
      <c r="J13" s="29" t="str">
        <f t="shared" si="1"/>
        <v/>
      </c>
      <c r="K13" s="148"/>
      <c r="L13" s="148"/>
      <c r="M13" s="145"/>
      <c r="N13" s="162"/>
      <c r="O13" s="166"/>
      <c r="P13" s="148"/>
      <c r="Q13" s="151"/>
      <c r="S13">
        <f>COUNTIFS('ליקויים מהמערכת'!$G:$G,$B$1,'ליקויים מהמערכת'!$C:$C,REPLACE(E13,1,0,"ליקוי ל: "))</f>
        <v>0</v>
      </c>
    </row>
    <row r="14" spans="1:19" ht="30" x14ac:dyDescent="0.25">
      <c r="A14" s="154"/>
      <c r="B14" s="157"/>
      <c r="C14" s="172"/>
      <c r="D14" s="168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"))/100)</f>
        <v/>
      </c>
      <c r="H14" s="20">
        <f t="shared" si="0"/>
        <v>0.03</v>
      </c>
      <c r="I14" s="148"/>
      <c r="J14" s="29" t="str">
        <f t="shared" si="1"/>
        <v/>
      </c>
      <c r="K14" s="148"/>
      <c r="L14" s="148"/>
      <c r="M14" s="145"/>
      <c r="N14" s="162"/>
      <c r="O14" s="166"/>
      <c r="P14" s="148"/>
      <c r="Q14" s="151"/>
      <c r="S14">
        <f>COUNTIFS('ליקויים מהמערכת'!$G:$G,$B$1,'ליקויים מהמערכת'!$C:$C,REPLACE(E14,1,0,"ליקוי ל: "))</f>
        <v>0</v>
      </c>
    </row>
    <row r="15" spans="1:19" ht="29.25" x14ac:dyDescent="0.2">
      <c r="A15" s="154"/>
      <c r="B15" s="157"/>
      <c r="C15" s="172"/>
      <c r="D15" s="168"/>
      <c r="E15" s="5" t="s">
        <v>45</v>
      </c>
      <c r="F15" s="22">
        <v>0.03</v>
      </c>
      <c r="G15" s="23" t="str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"))/100)</f>
        <v/>
      </c>
      <c r="H15" s="20">
        <f t="shared" si="0"/>
        <v>0.03</v>
      </c>
      <c r="I15" s="148"/>
      <c r="J15" s="29" t="str">
        <f t="shared" si="1"/>
        <v/>
      </c>
      <c r="K15" s="148"/>
      <c r="L15" s="148"/>
      <c r="M15" s="145"/>
      <c r="N15" s="162"/>
      <c r="O15" s="166"/>
      <c r="P15" s="148"/>
      <c r="Q15" s="151"/>
      <c r="S15">
        <f>COUNTIFS('ליקויים מהמערכת'!$G:$G,$B$1,'ליקויים מהמערכת'!$C:$C,REPLACE(E15,1,0,"ליקוי ל: "))</f>
        <v>0</v>
      </c>
    </row>
    <row r="16" spans="1:19" ht="30" x14ac:dyDescent="0.25">
      <c r="A16" s="154"/>
      <c r="B16" s="157"/>
      <c r="C16" s="172"/>
      <c r="D16" s="168"/>
      <c r="E16" s="5" t="s">
        <v>46</v>
      </c>
      <c r="F16" s="22">
        <v>0.02</v>
      </c>
      <c r="G16" s="23" t="str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"))/100)</f>
        <v/>
      </c>
      <c r="H16" s="20">
        <f t="shared" si="0"/>
        <v>0.02</v>
      </c>
      <c r="I16" s="148"/>
      <c r="J16" s="29" t="str">
        <f t="shared" si="1"/>
        <v/>
      </c>
      <c r="K16" s="148"/>
      <c r="L16" s="148"/>
      <c r="M16" s="145"/>
      <c r="N16" s="162"/>
      <c r="O16" s="166"/>
      <c r="P16" s="148"/>
      <c r="Q16" s="151"/>
      <c r="S16">
        <f>COUNTIFS('ליקויים מהמערכת'!$G:$G,$B$1,'ליקויים מהמערכת'!$C:$C,REPLACE(E16,1,0,"ליקוי ל: "))</f>
        <v>0</v>
      </c>
    </row>
    <row r="17" spans="1:19" ht="30" x14ac:dyDescent="0.25">
      <c r="A17" s="154"/>
      <c r="B17" s="157"/>
      <c r="C17" s="172"/>
      <c r="D17" s="168"/>
      <c r="E17" s="5" t="s">
        <v>47</v>
      </c>
      <c r="F17" s="22">
        <v>0.02</v>
      </c>
      <c r="G17" s="23" t="str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"))/100)</f>
        <v/>
      </c>
      <c r="H17" s="20">
        <f t="shared" si="0"/>
        <v>0.02</v>
      </c>
      <c r="I17" s="148"/>
      <c r="J17" s="29" t="str">
        <f t="shared" si="1"/>
        <v/>
      </c>
      <c r="K17" s="148"/>
      <c r="L17" s="148"/>
      <c r="M17" s="145"/>
      <c r="N17" s="162"/>
      <c r="O17" s="166"/>
      <c r="P17" s="148"/>
      <c r="Q17" s="151"/>
      <c r="S17">
        <f>COUNTIFS('ליקויים מהמערכת'!$G:$G,$B$1,'ליקויים מהמערכת'!$C:$C,REPLACE(E17,1,0,"ליקוי ל: "))</f>
        <v>0</v>
      </c>
    </row>
    <row r="18" spans="1:19" ht="15" x14ac:dyDescent="0.25">
      <c r="A18" s="154"/>
      <c r="B18" s="157"/>
      <c r="C18" s="172"/>
      <c r="D18" s="168"/>
      <c r="E18" s="5" t="s">
        <v>48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"))/100)</f>
        <v/>
      </c>
      <c r="H18" s="20">
        <f t="shared" si="0"/>
        <v>0.02</v>
      </c>
      <c r="I18" s="148"/>
      <c r="J18" s="29" t="str">
        <f t="shared" si="1"/>
        <v/>
      </c>
      <c r="K18" s="148"/>
      <c r="L18" s="148"/>
      <c r="M18" s="145"/>
      <c r="N18" s="162"/>
      <c r="O18" s="166"/>
      <c r="P18" s="148"/>
      <c r="Q18" s="151"/>
      <c r="S18">
        <f>COUNTIFS('ליקויים מהמערכת'!$G:$G,$B$1,'ליקויים מהמערכת'!$C:$C,REPLACE(E18,1,0,"ליקוי ל: "))</f>
        <v>0</v>
      </c>
    </row>
    <row r="19" spans="1:19" ht="15" x14ac:dyDescent="0.25">
      <c r="A19" s="154"/>
      <c r="B19" s="157"/>
      <c r="C19" s="172"/>
      <c r="D19" s="168"/>
      <c r="E19" s="5" t="s">
        <v>49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"))/100)</f>
        <v/>
      </c>
      <c r="H19" s="20">
        <f t="shared" si="0"/>
        <v>0.02</v>
      </c>
      <c r="I19" s="148"/>
      <c r="J19" s="29" t="str">
        <f t="shared" si="1"/>
        <v/>
      </c>
      <c r="K19" s="148"/>
      <c r="L19" s="148"/>
      <c r="M19" s="145"/>
      <c r="N19" s="162"/>
      <c r="O19" s="166"/>
      <c r="P19" s="148"/>
      <c r="Q19" s="151"/>
      <c r="S19">
        <f>COUNTIFS('ליקויים מהמערכת'!$G:$G,$B$1,'ליקויים מהמערכת'!$C:$C,REPLACE(E19,1,0,"ליקוי ל: "))</f>
        <v>0</v>
      </c>
    </row>
    <row r="20" spans="1:19" ht="30" x14ac:dyDescent="0.25">
      <c r="A20" s="154"/>
      <c r="B20" s="157"/>
      <c r="C20" s="172"/>
      <c r="D20" s="168"/>
      <c r="E20" s="4" t="s">
        <v>138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"))/100)</f>
        <v/>
      </c>
      <c r="H20" s="20">
        <f t="shared" si="0"/>
        <v>0.02</v>
      </c>
      <c r="I20" s="148"/>
      <c r="J20" s="29" t="str">
        <f t="shared" si="1"/>
        <v/>
      </c>
      <c r="K20" s="148"/>
      <c r="L20" s="148"/>
      <c r="M20" s="145"/>
      <c r="N20" s="162"/>
      <c r="O20" s="166"/>
      <c r="P20" s="148"/>
      <c r="Q20" s="151"/>
      <c r="S20">
        <f>COUNTIFS('ליקויים מהמערכת'!$G:$G,$B$1,'ליקויים מהמערכת'!$C:$C,REPLACE(E20,1,0,"ליקוי ל: "))</f>
        <v>0</v>
      </c>
    </row>
    <row r="21" spans="1:19" ht="30" x14ac:dyDescent="0.25">
      <c r="A21" s="154"/>
      <c r="B21" s="157"/>
      <c r="C21" s="172" t="s">
        <v>12</v>
      </c>
      <c r="D21" s="168">
        <v>0.04</v>
      </c>
      <c r="E21" s="5" t="s">
        <v>50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"))/100)</f>
        <v/>
      </c>
      <c r="H21" s="20">
        <f t="shared" si="0"/>
        <v>0.02</v>
      </c>
      <c r="I21" s="148">
        <f>SUM(H21:H22)</f>
        <v>0.04</v>
      </c>
      <c r="J21" s="29" t="str">
        <f>IFERROR(IF(G21="","",(F21+I$21/COUNT(G$21:G$22))*G21),F21*G21)</f>
        <v/>
      </c>
      <c r="K21" s="148">
        <f>IF(COUNTBLANK(G21:G22)=COUNTA(F21:F22),D21,"")</f>
        <v>0.04</v>
      </c>
      <c r="L21" s="148"/>
      <c r="M21" s="145" t="str">
        <f>IF(K21="",1,"")</f>
        <v/>
      </c>
      <c r="N21" s="162">
        <f>SUM(J21:J22)/D21*L12+SUM(J21:J22)</f>
        <v>0</v>
      </c>
      <c r="O21" s="166"/>
      <c r="P21" s="148"/>
      <c r="Q21" s="151"/>
      <c r="S21">
        <f>COUNTIFS('ליקויים מהמערכת'!$G:$G,$B$1,'ליקויים מהמערכת'!$C:$C,REPLACE(E21,1,0,"ליקוי ל: "))</f>
        <v>0</v>
      </c>
    </row>
    <row r="22" spans="1:19" ht="15" x14ac:dyDescent="0.25">
      <c r="A22" s="154"/>
      <c r="B22" s="157"/>
      <c r="C22" s="172"/>
      <c r="D22" s="168"/>
      <c r="E22" s="4" t="s">
        <v>139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"))/100)</f>
        <v/>
      </c>
      <c r="H22" s="20">
        <f t="shared" si="0"/>
        <v>0.02</v>
      </c>
      <c r="I22" s="148"/>
      <c r="J22" s="29" t="str">
        <f>IFERROR(IF(G22="","",(F22+I$21/COUNT(G$21:G$22))*G22),F22*G22)</f>
        <v/>
      </c>
      <c r="K22" s="148"/>
      <c r="L22" s="148"/>
      <c r="M22" s="145"/>
      <c r="N22" s="162"/>
      <c r="O22" s="166"/>
      <c r="P22" s="148"/>
      <c r="Q22" s="151"/>
      <c r="S22">
        <f>COUNTIFS('ליקויים מהמערכת'!$G:$G,$B$1,'ליקויים מהמערכת'!$C:$C,REPLACE(E22,1,0,"ליקוי ל: "))</f>
        <v>0</v>
      </c>
    </row>
    <row r="23" spans="1:19" ht="30" x14ac:dyDescent="0.25">
      <c r="A23" s="154"/>
      <c r="B23" s="157"/>
      <c r="C23" s="6" t="s">
        <v>13</v>
      </c>
      <c r="D23" s="54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48"/>
      <c r="M23" s="30" t="str">
        <f>IF(K23="",1,"")</f>
        <v/>
      </c>
      <c r="N23" s="29">
        <f>SUM(J23)/D23*L12+SUM(J23)</f>
        <v>0</v>
      </c>
      <c r="O23" s="166"/>
      <c r="P23" s="148"/>
      <c r="Q23" s="151"/>
      <c r="S23">
        <f>COUNTIFS('ליקויים מהמערכת'!$G:$G,$B$1,'ליקויים מהמערכת'!$C:$C,REPLACE(E23,1,0,"ליקוי ל: "))</f>
        <v>0</v>
      </c>
    </row>
    <row r="24" spans="1:19" ht="15" x14ac:dyDescent="0.25">
      <c r="A24" s="154"/>
      <c r="B24" s="157"/>
      <c r="C24" s="6" t="s">
        <v>14</v>
      </c>
      <c r="D24" s="54">
        <v>0.02</v>
      </c>
      <c r="E24" s="4" t="s">
        <v>140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48"/>
      <c r="M24" s="30" t="str">
        <f>IF(K24="",1,"")</f>
        <v/>
      </c>
      <c r="N24" s="29">
        <f>SUM(J24)/D24*L12+SUM(J24)</f>
        <v>0</v>
      </c>
      <c r="O24" s="166"/>
      <c r="P24" s="148"/>
      <c r="Q24" s="151"/>
      <c r="S24">
        <f>COUNTIFS('ליקויים מהמערכת'!$G:$G,$B$1,'ליקויים מהמערכת'!$C:$C,REPLACE(E24,1,0,"ליקוי ל: "))</f>
        <v>0</v>
      </c>
    </row>
    <row r="25" spans="1:19" ht="15" x14ac:dyDescent="0.25">
      <c r="A25" s="154"/>
      <c r="B25" s="157"/>
      <c r="C25" s="172" t="s">
        <v>15</v>
      </c>
      <c r="D25" s="168">
        <v>0.03</v>
      </c>
      <c r="E25" s="5" t="s">
        <v>141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"))/100)</f>
        <v/>
      </c>
      <c r="H25" s="20">
        <f t="shared" si="0"/>
        <v>0.02</v>
      </c>
      <c r="I25" s="148">
        <f>SUM(H25:H26)</f>
        <v>0.03</v>
      </c>
      <c r="J25" s="29" t="str">
        <f>IFERROR(IF(G25="","",(F25+I$25/COUNT(G$25:G$26))*G25),F25*G25)</f>
        <v/>
      </c>
      <c r="K25" s="148">
        <f>IF(COUNTBLANK(G25:G26)=COUNTA(F25:F26),D25,"")</f>
        <v>0.03</v>
      </c>
      <c r="L25" s="148"/>
      <c r="M25" s="145" t="str">
        <f>IF(K25="",1,"")</f>
        <v/>
      </c>
      <c r="N25" s="162">
        <f>SUM(J25:J26)/D25*L12+SUM(J25:J26)</f>
        <v>0</v>
      </c>
      <c r="O25" s="166"/>
      <c r="P25" s="148"/>
      <c r="Q25" s="151"/>
      <c r="S25">
        <f>COUNTIFS('ליקויים מהמערכת'!$G:$G,$B$1,'ליקויים מהמערכת'!$C:$C,REPLACE(E25,1,0,"ליקוי ל: "))</f>
        <v>0</v>
      </c>
    </row>
    <row r="26" spans="1:19" ht="30" x14ac:dyDescent="0.25">
      <c r="A26" s="154"/>
      <c r="B26" s="157"/>
      <c r="C26" s="172"/>
      <c r="D26" s="168"/>
      <c r="E26" s="5" t="s">
        <v>51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"))/100)</f>
        <v/>
      </c>
      <c r="H26" s="20">
        <f t="shared" si="0"/>
        <v>0.01</v>
      </c>
      <c r="I26" s="148"/>
      <c r="J26" s="29" t="str">
        <f>IFERROR(IF(G26="","",(F26+I$25/COUNT(G$25:G$26))*G26),F26*G26)</f>
        <v/>
      </c>
      <c r="K26" s="148"/>
      <c r="L26" s="148"/>
      <c r="M26" s="145"/>
      <c r="N26" s="162"/>
      <c r="O26" s="166"/>
      <c r="P26" s="148"/>
      <c r="Q26" s="151"/>
      <c r="S26">
        <f>COUNTIFS('ליקויים מהמערכת'!$G:$G,$B$1,'ליקויים מהמערכת'!$C:$C,REPLACE(E26,1,0,"ליקוי ל: "))</f>
        <v>0</v>
      </c>
    </row>
    <row r="27" spans="1:19" ht="15" x14ac:dyDescent="0.25">
      <c r="A27" s="154"/>
      <c r="B27" s="157"/>
      <c r="C27" s="160" t="s">
        <v>16</v>
      </c>
      <c r="D27" s="157">
        <v>0.03</v>
      </c>
      <c r="E27" s="4" t="s">
        <v>164</v>
      </c>
      <c r="F27" s="22">
        <v>0.01</v>
      </c>
      <c r="G27" s="23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"))/100)</f>
        <v>1</v>
      </c>
      <c r="H27" s="20" t="str">
        <f t="shared" si="0"/>
        <v/>
      </c>
      <c r="I27" s="148">
        <f>SUM(H27:H29)</f>
        <v>0.01</v>
      </c>
      <c r="J27" s="29">
        <f>IFERROR(IF(G27="","",(F27+I$27/COUNT(G$27:G$29))*G27),F27*G27)</f>
        <v>1.4999999999999999E-2</v>
      </c>
      <c r="K27" s="148" t="str">
        <f>IF(COUNTBLANK(G27:G29)=COUNTA(F27:F29),D27,"")</f>
        <v/>
      </c>
      <c r="L27" s="148"/>
      <c r="M27" s="145">
        <f>IF(K27="",1,"")</f>
        <v>1</v>
      </c>
      <c r="N27" s="162">
        <f>SUM(J27:J29)/D27*L12+SUM(J27:J29)</f>
        <v>0.3600000000000001</v>
      </c>
      <c r="O27" s="166"/>
      <c r="P27" s="148"/>
      <c r="Q27" s="151"/>
      <c r="S27">
        <f>COUNTIFS('ליקויים מהמערכת'!$G:$G,$B$1,'ליקויים מהמערכת'!$C:$C,REPLACE(E27,1,0,"ליקוי ל: "))</f>
        <v>1</v>
      </c>
    </row>
    <row r="28" spans="1:19" ht="15" x14ac:dyDescent="0.25">
      <c r="A28" s="154"/>
      <c r="B28" s="157"/>
      <c r="C28" s="160"/>
      <c r="D28" s="157"/>
      <c r="E28" s="4" t="s">
        <v>163</v>
      </c>
      <c r="F28" s="22">
        <v>0.01</v>
      </c>
      <c r="G28" s="23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"))/100)</f>
        <v>1</v>
      </c>
      <c r="H28" s="20" t="str">
        <f t="shared" si="0"/>
        <v/>
      </c>
      <c r="I28" s="148"/>
      <c r="J28" s="29">
        <f>IFERROR(IF(G28="","",(F28+I$27/COUNT(G$27:G$29))*G28),F28*G28)</f>
        <v>1.4999999999999999E-2</v>
      </c>
      <c r="K28" s="148"/>
      <c r="L28" s="148"/>
      <c r="M28" s="145"/>
      <c r="N28" s="162"/>
      <c r="O28" s="166"/>
      <c r="P28" s="148"/>
      <c r="Q28" s="151"/>
      <c r="S28">
        <f>COUNTIFS('ליקויים מהמערכת'!$G:$G,$B$1,'ליקויים מהמערכת'!$C:$C,REPLACE(E28,1,0,"ליקוי ל: "))</f>
        <v>1</v>
      </c>
    </row>
    <row r="29" spans="1:19" ht="15.75" thickBot="1" x14ac:dyDescent="0.3">
      <c r="A29" s="155"/>
      <c r="B29" s="158"/>
      <c r="C29" s="161"/>
      <c r="D29" s="158"/>
      <c r="E29" s="8" t="s">
        <v>142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"))/100)</f>
        <v/>
      </c>
      <c r="H29" s="26">
        <f t="shared" si="0"/>
        <v>0.01</v>
      </c>
      <c r="I29" s="149"/>
      <c r="J29" s="32" t="str">
        <f>IFERROR(IF(G29="","",(F29+I$27/COUNT(G$27:G$29))*G29),F29*G29)</f>
        <v/>
      </c>
      <c r="K29" s="149"/>
      <c r="L29" s="149"/>
      <c r="M29" s="146"/>
      <c r="N29" s="163"/>
      <c r="O29" s="167"/>
      <c r="P29" s="149"/>
      <c r="Q29" s="152"/>
      <c r="S29">
        <f>COUNTIFS('ליקויים מהמערכת'!$G:$G,$B$1,'ליקויים מהמערכת'!$C:$C,REPLACE(E29,1,0,"ליקוי ל: "))</f>
        <v>0</v>
      </c>
    </row>
    <row r="30" spans="1:19" ht="30" x14ac:dyDescent="0.25">
      <c r="A30" s="153" t="s">
        <v>2</v>
      </c>
      <c r="B30" s="156">
        <v>0.08</v>
      </c>
      <c r="C30" s="42" t="s">
        <v>17</v>
      </c>
      <c r="D30" s="55">
        <v>0.02</v>
      </c>
      <c r="E30" s="7" t="s">
        <v>143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47">
        <f>IFERROR(SUM(K30:K33)/SUM(M30:M33),0)</f>
        <v>0.06</v>
      </c>
      <c r="M30" s="35" t="str">
        <f t="shared" ref="M30:M48" si="5">IF(K30="",1,"")</f>
        <v/>
      </c>
      <c r="N30" s="28">
        <f>SUM(J30)/D30*L30+SUM(J30)</f>
        <v>0</v>
      </c>
      <c r="O30" s="144">
        <f>IF(L30&gt;0,1,IF(SUM(M30:M33)=4,1,""))</f>
        <v>1</v>
      </c>
      <c r="P30" s="144" t="str">
        <f>IF(O30="",B30,"")</f>
        <v/>
      </c>
      <c r="Q30" s="150">
        <f>SUM(P4:P48)/SUM(O4:O48)*(SUM(N30:N33)/B30)+SUM(N30:N33)</f>
        <v>0</v>
      </c>
      <c r="S30">
        <f>COUNTIFS('ליקויים מהמערכת'!$G:$G,$B$1,'ליקויים מהמערכת'!$C:$C,REPLACE(E30,1,0,"ליקוי ל: "))</f>
        <v>0</v>
      </c>
    </row>
    <row r="31" spans="1:19" ht="30" x14ac:dyDescent="0.25">
      <c r="A31" s="154"/>
      <c r="B31" s="157"/>
      <c r="C31" s="43" t="s">
        <v>18</v>
      </c>
      <c r="D31" s="56">
        <v>0.02</v>
      </c>
      <c r="E31" s="4" t="s">
        <v>144</v>
      </c>
      <c r="F31" s="22">
        <v>0.02</v>
      </c>
      <c r="G31" s="23" t="str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"))/100)</f>
        <v/>
      </c>
      <c r="H31" s="20">
        <f t="shared" si="0"/>
        <v>0.02</v>
      </c>
      <c r="I31" s="20">
        <f t="shared" si="2"/>
        <v>0.02</v>
      </c>
      <c r="J31" s="29" t="str">
        <f t="shared" si="3"/>
        <v/>
      </c>
      <c r="K31" s="20">
        <f t="shared" si="4"/>
        <v>0.02</v>
      </c>
      <c r="L31" s="148"/>
      <c r="M31" s="30" t="str">
        <f t="shared" si="5"/>
        <v/>
      </c>
      <c r="N31" s="29">
        <f>SUM(J31)/D31*L30+SUM(J31)</f>
        <v>0</v>
      </c>
      <c r="O31" s="145"/>
      <c r="P31" s="145"/>
      <c r="Q31" s="151"/>
      <c r="S31">
        <f>COUNTIFS('ליקויים מהמערכת'!$G:$G,$B$1,'ליקויים מהמערכת'!$C:$C,REPLACE(E31,1,0,"ליקוי ל: "))</f>
        <v>0</v>
      </c>
    </row>
    <row r="32" spans="1:19" ht="30" x14ac:dyDescent="0.25">
      <c r="A32" s="154"/>
      <c r="B32" s="157"/>
      <c r="C32" s="43" t="s">
        <v>19</v>
      </c>
      <c r="D32" s="56">
        <v>0.02</v>
      </c>
      <c r="E32" s="5" t="s">
        <v>52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"))/100)</f>
        <v>0</v>
      </c>
      <c r="H32" s="20" t="str">
        <f t="shared" si="0"/>
        <v/>
      </c>
      <c r="I32" s="20" t="str">
        <f t="shared" si="2"/>
        <v/>
      </c>
      <c r="J32" s="21">
        <f t="shared" si="3"/>
        <v>0</v>
      </c>
      <c r="K32" s="20" t="str">
        <f t="shared" si="4"/>
        <v/>
      </c>
      <c r="L32" s="148"/>
      <c r="M32" s="30">
        <f t="shared" si="5"/>
        <v>1</v>
      </c>
      <c r="N32" s="21">
        <f>SUM(J32)/D32*L30+SUM(J32)</f>
        <v>0</v>
      </c>
      <c r="O32" s="145"/>
      <c r="P32" s="145"/>
      <c r="Q32" s="151"/>
      <c r="S32">
        <f>COUNTIFS('ליקויים מהמערכת'!$G:$G,$B$1,'ליקויים מהמערכת'!$C:$C,REPLACE(E32,1,0,"ליקוי ל: "))</f>
        <v>1</v>
      </c>
    </row>
    <row r="33" spans="1:19" ht="15.75" thickBot="1" x14ac:dyDescent="0.3">
      <c r="A33" s="155"/>
      <c r="B33" s="158"/>
      <c r="C33" s="44" t="s">
        <v>20</v>
      </c>
      <c r="D33" s="57">
        <v>0.02</v>
      </c>
      <c r="E33" s="8" t="s">
        <v>145</v>
      </c>
      <c r="F33" s="36">
        <v>0.02</v>
      </c>
      <c r="G33" s="31" t="str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"))/100)</f>
        <v/>
      </c>
      <c r="H33" s="26">
        <f t="shared" si="0"/>
        <v>0.02</v>
      </c>
      <c r="I33" s="26">
        <f t="shared" si="2"/>
        <v>0.02</v>
      </c>
      <c r="J33" s="32" t="str">
        <f t="shared" si="3"/>
        <v/>
      </c>
      <c r="K33" s="26">
        <f t="shared" si="4"/>
        <v>0.02</v>
      </c>
      <c r="L33" s="149"/>
      <c r="M33" s="37" t="str">
        <f t="shared" si="5"/>
        <v/>
      </c>
      <c r="N33" s="32">
        <f>SUM(J33)/D33*L30+SUM(J33)</f>
        <v>0</v>
      </c>
      <c r="O33" s="146"/>
      <c r="P33" s="146"/>
      <c r="Q33" s="152"/>
      <c r="S33">
        <f>COUNTIFS('ליקויים מהמערכת'!$G:$G,$B$1,'ליקויים מהמערכת'!$C:$C,REPLACE(E33,1,0,"ליקוי ל: "))</f>
        <v>0</v>
      </c>
    </row>
    <row r="34" spans="1:19" ht="30" x14ac:dyDescent="0.25">
      <c r="A34" s="153" t="s">
        <v>3</v>
      </c>
      <c r="B34" s="156">
        <v>7.0000000000000007E-2</v>
      </c>
      <c r="C34" s="42" t="s">
        <v>21</v>
      </c>
      <c r="D34" s="55">
        <v>0.02</v>
      </c>
      <c r="E34" s="7" t="s">
        <v>146</v>
      </c>
      <c r="F34" s="33">
        <v>0.02</v>
      </c>
      <c r="G34" s="34" t="str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"))/100)</f>
        <v/>
      </c>
      <c r="H34" s="16">
        <f t="shared" si="0"/>
        <v>0.02</v>
      </c>
      <c r="I34" s="16">
        <f t="shared" si="2"/>
        <v>0.02</v>
      </c>
      <c r="J34" s="28" t="str">
        <f t="shared" si="3"/>
        <v/>
      </c>
      <c r="K34" s="16">
        <f t="shared" si="4"/>
        <v>0.02</v>
      </c>
      <c r="L34" s="147">
        <f>IFERROR(SUM(K34:K38)/SUM(M34:M38),0)</f>
        <v>0.05</v>
      </c>
      <c r="M34" s="35" t="str">
        <f t="shared" si="5"/>
        <v/>
      </c>
      <c r="N34" s="28">
        <f>SUM(J34)/D34*L34+SUM(J34)</f>
        <v>0</v>
      </c>
      <c r="O34" s="144">
        <f>IF(L34&gt;0,1,IF(SUM(M34:M38)=5,1,""))</f>
        <v>1</v>
      </c>
      <c r="P34" s="144" t="str">
        <f>IF(O34="",B34,"")</f>
        <v/>
      </c>
      <c r="Q34" s="150">
        <f>SUM(P4:P48)/SUM(O4:O48)*(SUM(N34:N38)/B34)+SUM(N34:N38)</f>
        <v>7.6666666666666675E-2</v>
      </c>
      <c r="S34">
        <f>COUNTIFS('ליקויים מהמערכת'!$G:$G,$B$1,'ליקויים מהמערכת'!$C:$C,REPLACE(E34,1,0,"ליקוי ל: "))</f>
        <v>0</v>
      </c>
    </row>
    <row r="35" spans="1:19" ht="30" x14ac:dyDescent="0.25">
      <c r="A35" s="154"/>
      <c r="B35" s="157"/>
      <c r="C35" s="43" t="s">
        <v>22</v>
      </c>
      <c r="D35" s="56">
        <v>0.02</v>
      </c>
      <c r="E35" s="4" t="s">
        <v>147</v>
      </c>
      <c r="F35" s="22">
        <v>0.02</v>
      </c>
      <c r="G35" s="23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"))/100)</f>
        <v>1</v>
      </c>
      <c r="H35" s="20" t="str">
        <f t="shared" si="0"/>
        <v/>
      </c>
      <c r="I35" s="20" t="str">
        <f t="shared" si="2"/>
        <v/>
      </c>
      <c r="J35" s="29">
        <f t="shared" si="3"/>
        <v>0.02</v>
      </c>
      <c r="K35" s="20" t="str">
        <f t="shared" si="4"/>
        <v/>
      </c>
      <c r="L35" s="148"/>
      <c r="M35" s="30">
        <f t="shared" si="5"/>
        <v>1</v>
      </c>
      <c r="N35" s="29">
        <f>SUM(J35)/D35*L34+SUM(J35)</f>
        <v>7.0000000000000007E-2</v>
      </c>
      <c r="O35" s="145"/>
      <c r="P35" s="145"/>
      <c r="Q35" s="151"/>
      <c r="S35">
        <f>COUNTIFS('ליקויים מהמערכת'!$G:$G,$B$1,'ליקויים מהמערכת'!$C:$C,REPLACE(E35,1,0,"ליקוי ל: "))</f>
        <v>1</v>
      </c>
    </row>
    <row r="36" spans="1:19" ht="15" x14ac:dyDescent="0.25">
      <c r="A36" s="154"/>
      <c r="B36" s="157"/>
      <c r="C36" s="43" t="s">
        <v>23</v>
      </c>
      <c r="D36" s="56">
        <v>0.01</v>
      </c>
      <c r="E36" s="4" t="s">
        <v>148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48"/>
      <c r="M36" s="30" t="str">
        <f t="shared" si="5"/>
        <v/>
      </c>
      <c r="N36" s="29">
        <f>SUM(J36)/D36*L34+SUM(J36)</f>
        <v>0</v>
      </c>
      <c r="O36" s="145"/>
      <c r="P36" s="145"/>
      <c r="Q36" s="151"/>
      <c r="S36">
        <f>COUNTIFS('ליקויים מהמערכת'!$G:$G,$B$1,'ליקויים מהמערכת'!$C:$C,REPLACE(E36,1,0,"ליקוי ל: "))</f>
        <v>0</v>
      </c>
    </row>
    <row r="37" spans="1:19" ht="15" x14ac:dyDescent="0.25">
      <c r="A37" s="154"/>
      <c r="B37" s="157"/>
      <c r="C37" s="43" t="s">
        <v>24</v>
      </c>
      <c r="D37" s="56">
        <v>0.01</v>
      </c>
      <c r="E37" s="4" t="s">
        <v>149</v>
      </c>
      <c r="F37" s="22">
        <v>0.01</v>
      </c>
      <c r="G37" s="23" t="str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"))/100)</f>
        <v/>
      </c>
      <c r="H37" s="20">
        <f t="shared" si="0"/>
        <v>0.01</v>
      </c>
      <c r="I37" s="20">
        <f t="shared" si="2"/>
        <v>0.01</v>
      </c>
      <c r="J37" s="29" t="str">
        <f t="shared" si="3"/>
        <v/>
      </c>
      <c r="K37" s="20">
        <f t="shared" si="4"/>
        <v>0.01</v>
      </c>
      <c r="L37" s="148"/>
      <c r="M37" s="30" t="str">
        <f t="shared" si="5"/>
        <v/>
      </c>
      <c r="N37" s="29">
        <f>SUM(J37)/D37*L34+SUM(J37)</f>
        <v>0</v>
      </c>
      <c r="O37" s="145"/>
      <c r="P37" s="145"/>
      <c r="Q37" s="151"/>
      <c r="S37">
        <f>COUNTIFS('ליקויים מהמערכת'!$G:$G,$B$1,'ליקויים מהמערכת'!$C:$C,REPLACE(E37,1,0,"ליקוי ל: "))</f>
        <v>0</v>
      </c>
    </row>
    <row r="38" spans="1:19" ht="15.75" thickBot="1" x14ac:dyDescent="0.3">
      <c r="A38" s="155"/>
      <c r="B38" s="158"/>
      <c r="C38" s="44" t="s">
        <v>25</v>
      </c>
      <c r="D38" s="57">
        <v>0.01</v>
      </c>
      <c r="E38" s="8" t="s">
        <v>150</v>
      </c>
      <c r="F38" s="36">
        <v>0.01</v>
      </c>
      <c r="G38" s="31" t="str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"))/100)</f>
        <v/>
      </c>
      <c r="H38" s="26">
        <f t="shared" si="0"/>
        <v>0.01</v>
      </c>
      <c r="I38" s="26">
        <f t="shared" si="2"/>
        <v>0.01</v>
      </c>
      <c r="J38" s="32" t="str">
        <f t="shared" si="3"/>
        <v/>
      </c>
      <c r="K38" s="26">
        <f t="shared" si="4"/>
        <v>0.01</v>
      </c>
      <c r="L38" s="149"/>
      <c r="M38" s="37" t="str">
        <f t="shared" si="5"/>
        <v/>
      </c>
      <c r="N38" s="32">
        <f>SUM(J38)/D38*L34+SUM(J38)</f>
        <v>0</v>
      </c>
      <c r="O38" s="146"/>
      <c r="P38" s="146"/>
      <c r="Q38" s="152"/>
      <c r="S38">
        <f>COUNTIFS('ליקויים מהמערכת'!$G:$G,$B$1,'ליקויים מהמערכת'!$C:$C,REPLACE(E38,1,0,"ליקוי ל: "))</f>
        <v>0</v>
      </c>
    </row>
    <row r="39" spans="1:19" ht="15" x14ac:dyDescent="0.25">
      <c r="A39" s="153" t="s">
        <v>4</v>
      </c>
      <c r="B39" s="156">
        <v>0.05</v>
      </c>
      <c r="C39" s="45" t="s">
        <v>26</v>
      </c>
      <c r="D39" s="58">
        <v>0.03</v>
      </c>
      <c r="E39" s="7" t="s">
        <v>151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"))/100)</f>
        <v>1</v>
      </c>
      <c r="H39" s="16" t="str">
        <f t="shared" si="0"/>
        <v/>
      </c>
      <c r="I39" s="16" t="str">
        <f t="shared" si="2"/>
        <v/>
      </c>
      <c r="J39" s="28">
        <f t="shared" si="3"/>
        <v>0.03</v>
      </c>
      <c r="K39" s="16" t="str">
        <f t="shared" si="4"/>
        <v/>
      </c>
      <c r="L39" s="147">
        <f>IFERROR(SUM(K39:K41)/SUM(M39:M41),0)</f>
        <v>5.0000000000000001E-3</v>
      </c>
      <c r="M39" s="35">
        <f t="shared" si="5"/>
        <v>1</v>
      </c>
      <c r="N39" s="28">
        <f>SUM(J39)/D39*L39+SUM(J39)</f>
        <v>3.4999999999999996E-2</v>
      </c>
      <c r="O39" s="144">
        <f>IF(L39&gt;0,1,IF(SUM(M39:M41)=3,1,""))</f>
        <v>1</v>
      </c>
      <c r="P39" s="144" t="str">
        <f>IF(O39="",B39,"")</f>
        <v/>
      </c>
      <c r="Q39" s="150">
        <f>SUM(P4:P48)/SUM(O4:O48)*(SUM(N39:N41)/B39)+SUM(N39:N41)</f>
        <v>5.6666666666666664E-2</v>
      </c>
      <c r="S39">
        <f>COUNTIFS('ליקויים מהמערכת'!$G:$G,$B$1,'ליקויים מהמערכת'!$C:$C,REPLACE(E39,1,0,"ליקוי ל: "))</f>
        <v>1</v>
      </c>
    </row>
    <row r="40" spans="1:19" ht="15" x14ac:dyDescent="0.25">
      <c r="A40" s="154"/>
      <c r="B40" s="157"/>
      <c r="C40" s="46" t="s">
        <v>27</v>
      </c>
      <c r="D40" s="59">
        <v>0.01</v>
      </c>
      <c r="E40" s="4" t="s">
        <v>152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48"/>
      <c r="M40" s="30">
        <f t="shared" si="5"/>
        <v>1</v>
      </c>
      <c r="N40" s="29">
        <f>SUM(J40)/D40*L39+SUM(J40)</f>
        <v>1.4999999999999999E-2</v>
      </c>
      <c r="O40" s="145"/>
      <c r="P40" s="145"/>
      <c r="Q40" s="151"/>
      <c r="S40">
        <f>COUNTIFS('ליקויים מהמערכת'!$G:$G,$B$1,'ליקויים מהמערכת'!$C:$C,REPLACE(E40,1,0,"ליקוי ל: "))</f>
        <v>1</v>
      </c>
    </row>
    <row r="41" spans="1:19" ht="15.75" thickBot="1" x14ac:dyDescent="0.3">
      <c r="A41" s="155"/>
      <c r="B41" s="158"/>
      <c r="C41" s="47" t="s">
        <v>28</v>
      </c>
      <c r="D41" s="60">
        <v>0.01</v>
      </c>
      <c r="E41" s="8" t="s">
        <v>153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49"/>
      <c r="M41" s="37" t="str">
        <f t="shared" si="5"/>
        <v/>
      </c>
      <c r="N41" s="41">
        <f>SUM(J41)/D41*L39+SUM(J41)</f>
        <v>0</v>
      </c>
      <c r="O41" s="146"/>
      <c r="P41" s="146"/>
      <c r="Q41" s="152"/>
      <c r="S41">
        <f>COUNTIFS('ליקויים מהמערכת'!$G:$G,$B$1,'ליקויים מהמערכת'!$C:$C,REPLACE(E41,1,0,"ליקוי ל: "))</f>
        <v>0</v>
      </c>
    </row>
    <row r="42" spans="1:19" ht="30" x14ac:dyDescent="0.25">
      <c r="A42" s="153" t="s">
        <v>5</v>
      </c>
      <c r="B42" s="156">
        <v>7.0000000000000007E-2</v>
      </c>
      <c r="C42" s="45" t="s">
        <v>29</v>
      </c>
      <c r="D42" s="58">
        <v>0.02</v>
      </c>
      <c r="E42" s="9" t="s">
        <v>53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"))/100)</f>
        <v>1</v>
      </c>
      <c r="H42" s="16" t="str">
        <f t="shared" si="0"/>
        <v/>
      </c>
      <c r="I42" s="16" t="str">
        <f t="shared" si="2"/>
        <v/>
      </c>
      <c r="J42" s="28">
        <f t="shared" si="3"/>
        <v>0.02</v>
      </c>
      <c r="K42" s="16" t="str">
        <f t="shared" si="4"/>
        <v/>
      </c>
      <c r="L42" s="147">
        <f>IFERROR(SUM(K42:K45)/SUM(M42:M45),0)</f>
        <v>0</v>
      </c>
      <c r="M42" s="35">
        <f t="shared" si="5"/>
        <v>1</v>
      </c>
      <c r="N42" s="28">
        <f>SUM(J42)/D42*L42+SUM(J42)</f>
        <v>0.02</v>
      </c>
      <c r="O42" s="144">
        <f>IF(L42&gt;0,1,IF(SUM(M42:M45)=4,1,""))</f>
        <v>1</v>
      </c>
      <c r="P42" s="147" t="str">
        <f>IF(O42="",B42,"")</f>
        <v/>
      </c>
      <c r="Q42" s="150">
        <f>SUM(P4:P48)/SUM(O4:O48)*(SUM(N42:N45)/B42)+SUM(N42:N45)</f>
        <v>2.1904761904761906E-2</v>
      </c>
      <c r="S42">
        <f>COUNTIFS('ליקויים מהמערכת'!$G:$G,$B$1,'ליקויים מהמערכת'!$C:$C,REPLACE(E42,1,0,"ליקוי ל: "))</f>
        <v>1</v>
      </c>
    </row>
    <row r="43" spans="1:19" ht="30" x14ac:dyDescent="0.25">
      <c r="A43" s="154"/>
      <c r="B43" s="157"/>
      <c r="C43" s="46" t="s">
        <v>30</v>
      </c>
      <c r="D43" s="59">
        <v>0.02</v>
      </c>
      <c r="E43" s="5" t="s">
        <v>54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"))/100)</f>
        <v>0</v>
      </c>
      <c r="H43" s="20" t="str">
        <f t="shared" si="0"/>
        <v/>
      </c>
      <c r="I43" s="20" t="str">
        <f t="shared" si="2"/>
        <v/>
      </c>
      <c r="J43" s="29">
        <f t="shared" si="3"/>
        <v>0</v>
      </c>
      <c r="K43" s="20" t="str">
        <f t="shared" si="4"/>
        <v/>
      </c>
      <c r="L43" s="148"/>
      <c r="M43" s="30">
        <f t="shared" si="5"/>
        <v>1</v>
      </c>
      <c r="N43" s="29">
        <f>SUM(J43)/D43*L42+SUM(J43)</f>
        <v>0</v>
      </c>
      <c r="O43" s="145"/>
      <c r="P43" s="148"/>
      <c r="Q43" s="151"/>
      <c r="S43">
        <f>COUNTIFS('ליקויים מהמערכת'!$G:$G,$B$1,'ליקויים מהמערכת'!$C:$C,REPLACE(E43,1,0,"ליקוי ל: "))</f>
        <v>1</v>
      </c>
    </row>
    <row r="44" spans="1:19" ht="15" x14ac:dyDescent="0.25">
      <c r="A44" s="154"/>
      <c r="B44" s="157"/>
      <c r="C44" s="46" t="s">
        <v>31</v>
      </c>
      <c r="D44" s="59">
        <v>0.01</v>
      </c>
      <c r="E44" s="4" t="s">
        <v>154</v>
      </c>
      <c r="F44" s="22">
        <v>0.01</v>
      </c>
      <c r="G44" s="23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"))/100)</f>
        <v>0</v>
      </c>
      <c r="H44" s="20" t="str">
        <f t="shared" si="0"/>
        <v/>
      </c>
      <c r="I44" s="20" t="str">
        <f t="shared" si="2"/>
        <v/>
      </c>
      <c r="J44" s="29">
        <f t="shared" si="3"/>
        <v>0</v>
      </c>
      <c r="K44" s="20" t="str">
        <f t="shared" si="4"/>
        <v/>
      </c>
      <c r="L44" s="148"/>
      <c r="M44" s="30">
        <f t="shared" si="5"/>
        <v>1</v>
      </c>
      <c r="N44" s="29">
        <f>SUM(J44)/D44*L42+SUM(J44)</f>
        <v>0</v>
      </c>
      <c r="O44" s="145"/>
      <c r="P44" s="148"/>
      <c r="Q44" s="151"/>
      <c r="S44">
        <f>COUNTIFS('ליקויים מהמערכת'!$G:$G,$B$1,'ליקויים מהמערכת'!$C:$C,REPLACE(E44,1,0,"ליקוי ל: "))</f>
        <v>1</v>
      </c>
    </row>
    <row r="45" spans="1:19" ht="15.75" thickBot="1" x14ac:dyDescent="0.3">
      <c r="A45" s="155"/>
      <c r="B45" s="158"/>
      <c r="C45" s="47" t="s">
        <v>32</v>
      </c>
      <c r="D45" s="60">
        <v>0.02</v>
      </c>
      <c r="E45" s="8" t="s">
        <v>155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"))/100)</f>
        <v>0</v>
      </c>
      <c r="H45" s="26" t="str">
        <f t="shared" si="0"/>
        <v/>
      </c>
      <c r="I45" s="26" t="str">
        <f t="shared" si="2"/>
        <v/>
      </c>
      <c r="J45" s="32">
        <f t="shared" si="3"/>
        <v>0</v>
      </c>
      <c r="K45" s="26" t="str">
        <f t="shared" si="4"/>
        <v/>
      </c>
      <c r="L45" s="149"/>
      <c r="M45" s="37">
        <f t="shared" si="5"/>
        <v>1</v>
      </c>
      <c r="N45" s="32">
        <f>SUM(J45)/D45*L42+SUM(J45)</f>
        <v>0</v>
      </c>
      <c r="O45" s="146"/>
      <c r="P45" s="149"/>
      <c r="Q45" s="152"/>
      <c r="S45">
        <f>COUNTIFS('ליקויים מהמערכת'!$G:$G,$B$1,'ליקויים מהמערכת'!$C:$C,REPLACE(E45,1,0,"ליקוי ל: "))</f>
        <v>1</v>
      </c>
    </row>
    <row r="46" spans="1:19" ht="15" x14ac:dyDescent="0.25">
      <c r="A46" s="153" t="s">
        <v>6</v>
      </c>
      <c r="B46" s="156">
        <v>0.04</v>
      </c>
      <c r="C46" s="159" t="s">
        <v>33</v>
      </c>
      <c r="D46" s="58">
        <v>0.02</v>
      </c>
      <c r="E46" s="7" t="s">
        <v>156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47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44" t="str">
        <f>IF(L46&gt;0,1,IF(SUM(M46:M48)=3,1,""))</f>
        <v/>
      </c>
      <c r="P46" s="144">
        <f>IF(O46="",B46,"")</f>
        <v>0.04</v>
      </c>
      <c r="Q46" s="150">
        <f>SUM(P4:P48)/SUM(O4:O48)*(SUM(N46:N48)/B46)+SUM(N46:N48)</f>
        <v>0</v>
      </c>
      <c r="S46">
        <f>COUNTIFS('ליקויים מהמערכת'!$G:$G,$B$1,'ליקויים מהמערכת'!$C:$C,REPLACE(E46,1,0,"ליקוי ל: "))</f>
        <v>0</v>
      </c>
    </row>
    <row r="47" spans="1:19" ht="15" x14ac:dyDescent="0.25">
      <c r="A47" s="154"/>
      <c r="B47" s="157"/>
      <c r="C47" s="160"/>
      <c r="D47" s="59">
        <v>0.01</v>
      </c>
      <c r="E47" s="4" t="s">
        <v>157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48"/>
      <c r="M47" s="30" t="str">
        <f t="shared" si="5"/>
        <v/>
      </c>
      <c r="N47" s="40">
        <f>SUM(J47)/D47*L46+SUM(J47)</f>
        <v>0</v>
      </c>
      <c r="O47" s="145"/>
      <c r="P47" s="145"/>
      <c r="Q47" s="151"/>
      <c r="S47">
        <f>COUNTIFS('ליקויים מהמערכת'!$G:$G,$B$1,'ליקויים מהמערכת'!$C:$C,REPLACE(E47,1,0,"ליקוי ל: "))</f>
        <v>0</v>
      </c>
    </row>
    <row r="48" spans="1:19" ht="15" thickBot="1" x14ac:dyDescent="0.25">
      <c r="A48" s="155"/>
      <c r="B48" s="158"/>
      <c r="C48" s="161"/>
      <c r="D48" s="60">
        <v>0.01</v>
      </c>
      <c r="E48" s="10" t="s">
        <v>158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49"/>
      <c r="M48" s="37" t="str">
        <f t="shared" si="5"/>
        <v/>
      </c>
      <c r="N48" s="41">
        <f>SUM(J48)/D48*L46+SUM(J48)</f>
        <v>0</v>
      </c>
      <c r="O48" s="146"/>
      <c r="P48" s="146"/>
      <c r="Q48" s="152"/>
      <c r="S48">
        <f>COUNTIFS('ליקויים מהמערכת'!$G:$G,$B$1,'ליקויים מהמערכת'!$C:$C,REPLACE(E48,1,0,"ליקוי ל: "))</f>
        <v>0</v>
      </c>
    </row>
    <row r="51" spans="6:19" x14ac:dyDescent="0.2">
      <c r="F51" t="s">
        <v>95</v>
      </c>
      <c r="G51">
        <f>COUNT(G4:G48)</f>
        <v>15</v>
      </c>
      <c r="S51">
        <f>SUM(S4:S50)</f>
        <v>15</v>
      </c>
    </row>
    <row r="74" spans="5:5" x14ac:dyDescent="0.2">
      <c r="E74">
        <f>(30+18)*15</f>
        <v>720</v>
      </c>
    </row>
  </sheetData>
  <mergeCells count="91"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  <mergeCell ref="A12:A29"/>
    <mergeCell ref="B12:B29"/>
    <mergeCell ref="C12:C20"/>
    <mergeCell ref="D12:D20"/>
    <mergeCell ref="I12:I20"/>
    <mergeCell ref="C21:C22"/>
    <mergeCell ref="C25:C26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A30:A33"/>
    <mergeCell ref="B30:B33"/>
    <mergeCell ref="L30:L33"/>
    <mergeCell ref="O30:O33"/>
    <mergeCell ref="P30:P33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workbookViewId="0">
      <selection activeCell="A18" sqref="A18:XFD18"/>
    </sheetView>
  </sheetViews>
  <sheetFormatPr defaultRowHeight="14.25" x14ac:dyDescent="0.2"/>
  <cols>
    <col min="3" max="3" width="64" bestFit="1" customWidth="1"/>
  </cols>
  <sheetData>
    <row r="1" spans="1:9" x14ac:dyDescent="0.2">
      <c r="A1" s="130" t="s">
        <v>116</v>
      </c>
      <c r="B1" s="130" t="s">
        <v>117</v>
      </c>
      <c r="C1" s="130" t="s">
        <v>118</v>
      </c>
      <c r="D1" s="130" t="s">
        <v>119</v>
      </c>
      <c r="E1" s="130" t="s">
        <v>120</v>
      </c>
      <c r="F1" s="130" t="s">
        <v>121</v>
      </c>
      <c r="G1" s="130" t="s">
        <v>122</v>
      </c>
      <c r="H1" s="130" t="s">
        <v>123</v>
      </c>
      <c r="I1" s="130" t="s">
        <v>124</v>
      </c>
    </row>
    <row r="2" spans="1:9" x14ac:dyDescent="0.2">
      <c r="A2" s="130">
        <v>7950</v>
      </c>
      <c r="B2" s="130">
        <v>49063830</v>
      </c>
      <c r="C2" s="130" t="s">
        <v>125</v>
      </c>
      <c r="D2" s="131">
        <v>43321</v>
      </c>
      <c r="E2" s="131">
        <v>43321</v>
      </c>
      <c r="F2" s="130">
        <v>1</v>
      </c>
      <c r="G2" s="130" t="s">
        <v>166</v>
      </c>
      <c r="H2" s="130">
        <v>50</v>
      </c>
      <c r="I2" s="130"/>
    </row>
    <row r="3" spans="1:9" x14ac:dyDescent="0.2">
      <c r="A3" s="130">
        <v>7950</v>
      </c>
      <c r="B3" s="130">
        <v>49063831</v>
      </c>
      <c r="C3" s="130" t="s">
        <v>126</v>
      </c>
      <c r="D3" s="131">
        <v>43321</v>
      </c>
      <c r="E3" s="131">
        <v>43321</v>
      </c>
      <c r="F3" s="130">
        <v>1</v>
      </c>
      <c r="G3" s="130" t="s">
        <v>166</v>
      </c>
      <c r="H3" s="130">
        <v>100</v>
      </c>
      <c r="I3" s="130"/>
    </row>
    <row r="4" spans="1:9" x14ac:dyDescent="0.2">
      <c r="A4" s="130">
        <v>7950</v>
      </c>
      <c r="B4" s="130">
        <v>49063832</v>
      </c>
      <c r="C4" s="130" t="s">
        <v>167</v>
      </c>
      <c r="D4" s="131">
        <v>43344</v>
      </c>
      <c r="E4" s="131">
        <v>43344</v>
      </c>
      <c r="F4" s="130">
        <v>1</v>
      </c>
      <c r="G4" s="130" t="s">
        <v>166</v>
      </c>
      <c r="H4" s="130">
        <v>0</v>
      </c>
      <c r="I4" s="130"/>
    </row>
    <row r="5" spans="1:9" x14ac:dyDescent="0.2">
      <c r="A5" s="130">
        <v>7950</v>
      </c>
      <c r="B5" s="130">
        <v>49063833</v>
      </c>
      <c r="C5" s="130" t="s">
        <v>127</v>
      </c>
      <c r="D5" s="131">
        <v>43321</v>
      </c>
      <c r="E5" s="131">
        <v>43321</v>
      </c>
      <c r="F5" s="130">
        <v>1</v>
      </c>
      <c r="G5" s="130" t="s">
        <v>166</v>
      </c>
      <c r="H5" s="130">
        <v>25</v>
      </c>
      <c r="I5" s="130"/>
    </row>
    <row r="6" spans="1:9" x14ac:dyDescent="0.2">
      <c r="A6" s="130">
        <v>7950</v>
      </c>
      <c r="B6" s="130">
        <v>49063834</v>
      </c>
      <c r="C6" s="130" t="s">
        <v>134</v>
      </c>
      <c r="D6" s="131">
        <v>43344</v>
      </c>
      <c r="E6" s="131">
        <v>43344</v>
      </c>
      <c r="F6" s="130">
        <v>1</v>
      </c>
      <c r="G6" s="130" t="s">
        <v>166</v>
      </c>
      <c r="H6" s="130">
        <v>0</v>
      </c>
      <c r="I6" s="130"/>
    </row>
    <row r="7" spans="1:9" x14ac:dyDescent="0.2">
      <c r="A7" s="130">
        <v>7950</v>
      </c>
      <c r="B7" s="130">
        <v>49063835</v>
      </c>
      <c r="C7" s="130" t="s">
        <v>168</v>
      </c>
      <c r="D7" s="131">
        <v>43344</v>
      </c>
      <c r="E7" s="131">
        <v>43344</v>
      </c>
      <c r="F7" s="130">
        <v>1</v>
      </c>
      <c r="G7" s="130" t="s">
        <v>166</v>
      </c>
      <c r="H7" s="130">
        <v>0</v>
      </c>
      <c r="I7" s="130"/>
    </row>
    <row r="8" spans="1:9" x14ac:dyDescent="0.2">
      <c r="A8" s="130">
        <v>7950</v>
      </c>
      <c r="B8" s="130">
        <v>49063842</v>
      </c>
      <c r="C8" s="130" t="s">
        <v>161</v>
      </c>
      <c r="D8" s="131">
        <v>43321</v>
      </c>
      <c r="E8" s="131">
        <v>43321</v>
      </c>
      <c r="F8" s="130">
        <v>1</v>
      </c>
      <c r="G8" s="130" t="s">
        <v>166</v>
      </c>
      <c r="H8" s="130">
        <v>100</v>
      </c>
      <c r="I8" s="130"/>
    </row>
    <row r="9" spans="1:9" x14ac:dyDescent="0.2">
      <c r="A9" s="130">
        <v>7950</v>
      </c>
      <c r="B9" s="130">
        <v>49063843</v>
      </c>
      <c r="C9" s="130" t="s">
        <v>162</v>
      </c>
      <c r="D9" s="131">
        <v>43321</v>
      </c>
      <c r="E9" s="131">
        <v>43321</v>
      </c>
      <c r="F9" s="130">
        <v>1</v>
      </c>
      <c r="G9" s="130" t="s">
        <v>166</v>
      </c>
      <c r="H9" s="130">
        <v>100</v>
      </c>
      <c r="I9" s="130"/>
    </row>
    <row r="10" spans="1:9" x14ac:dyDescent="0.2">
      <c r="A10" s="130">
        <v>7950</v>
      </c>
      <c r="B10" s="130">
        <v>49063844</v>
      </c>
      <c r="C10" s="130" t="s">
        <v>130</v>
      </c>
      <c r="D10" s="131">
        <v>43321</v>
      </c>
      <c r="E10" s="131">
        <v>43321</v>
      </c>
      <c r="F10" s="130">
        <v>1</v>
      </c>
      <c r="G10" s="130" t="s">
        <v>166</v>
      </c>
      <c r="H10" s="130">
        <v>100</v>
      </c>
      <c r="I10" s="130"/>
    </row>
    <row r="11" spans="1:9" x14ac:dyDescent="0.2">
      <c r="A11" s="130">
        <v>7950</v>
      </c>
      <c r="B11" s="130">
        <v>49063845</v>
      </c>
      <c r="C11" s="130" t="s">
        <v>132</v>
      </c>
      <c r="D11" s="131">
        <v>43344</v>
      </c>
      <c r="E11" s="131">
        <v>43344</v>
      </c>
      <c r="F11" s="130">
        <v>1</v>
      </c>
      <c r="G11" s="130" t="s">
        <v>166</v>
      </c>
      <c r="H11" s="130">
        <v>0</v>
      </c>
      <c r="I11" s="130"/>
    </row>
    <row r="12" spans="1:9" x14ac:dyDescent="0.2">
      <c r="A12" s="130">
        <v>7950</v>
      </c>
      <c r="B12" s="130">
        <v>49063847</v>
      </c>
      <c r="C12" s="130" t="s">
        <v>169</v>
      </c>
      <c r="D12" s="131">
        <v>43321</v>
      </c>
      <c r="E12" s="131">
        <v>43321</v>
      </c>
      <c r="F12" s="130">
        <v>1</v>
      </c>
      <c r="G12" s="130" t="s">
        <v>166</v>
      </c>
      <c r="H12" s="130">
        <v>100</v>
      </c>
      <c r="I12" s="130"/>
    </row>
    <row r="13" spans="1:9" x14ac:dyDescent="0.2">
      <c r="A13" s="130">
        <v>7950</v>
      </c>
      <c r="B13" s="130">
        <v>49063836</v>
      </c>
      <c r="C13" s="130" t="s">
        <v>129</v>
      </c>
      <c r="D13" s="131">
        <v>43344</v>
      </c>
      <c r="E13" s="131">
        <v>43344</v>
      </c>
      <c r="F13" s="130">
        <v>1</v>
      </c>
      <c r="G13" s="130" t="s">
        <v>166</v>
      </c>
      <c r="H13" s="130">
        <v>0</v>
      </c>
      <c r="I13" s="130"/>
    </row>
    <row r="14" spans="1:9" x14ac:dyDescent="0.2">
      <c r="A14" s="130">
        <v>7950</v>
      </c>
      <c r="B14" s="130">
        <v>49063837</v>
      </c>
      <c r="C14" s="130" t="s">
        <v>131</v>
      </c>
      <c r="D14" s="131">
        <v>43321</v>
      </c>
      <c r="E14" s="131">
        <v>43321</v>
      </c>
      <c r="F14" s="130">
        <v>1</v>
      </c>
      <c r="G14" s="130" t="s">
        <v>166</v>
      </c>
      <c r="H14" s="130">
        <v>0</v>
      </c>
      <c r="I14" s="130"/>
    </row>
    <row r="15" spans="1:9" x14ac:dyDescent="0.2">
      <c r="A15" s="130">
        <v>7950</v>
      </c>
      <c r="B15" s="130">
        <v>49063838</v>
      </c>
      <c r="C15" s="130" t="s">
        <v>128</v>
      </c>
      <c r="D15" s="131">
        <v>43321</v>
      </c>
      <c r="E15" s="131">
        <v>43321</v>
      </c>
      <c r="F15" s="130">
        <v>1</v>
      </c>
      <c r="G15" s="130" t="s">
        <v>166</v>
      </c>
      <c r="H15" s="130">
        <v>0</v>
      </c>
      <c r="I15" s="130"/>
    </row>
    <row r="16" spans="1:9" x14ac:dyDescent="0.2">
      <c r="A16" s="130">
        <v>7950</v>
      </c>
      <c r="B16" s="130">
        <v>49063839</v>
      </c>
      <c r="C16" s="130" t="s">
        <v>133</v>
      </c>
      <c r="D16" s="131">
        <v>43321</v>
      </c>
      <c r="E16" s="131">
        <v>43321</v>
      </c>
      <c r="F16" s="130">
        <v>1</v>
      </c>
      <c r="G16" s="130" t="s">
        <v>166</v>
      </c>
      <c r="H16" s="130">
        <v>100</v>
      </c>
      <c r="I16" s="130"/>
    </row>
    <row r="17" spans="1:9" x14ac:dyDescent="0.2">
      <c r="A17" s="130">
        <v>7950</v>
      </c>
      <c r="B17" s="130">
        <v>49063840</v>
      </c>
      <c r="C17" s="130" t="s">
        <v>135</v>
      </c>
      <c r="D17" s="131">
        <v>43321</v>
      </c>
      <c r="E17" s="131">
        <v>43321</v>
      </c>
      <c r="F17" s="130">
        <v>1</v>
      </c>
      <c r="G17" s="130" t="s">
        <v>166</v>
      </c>
      <c r="H17" s="130">
        <v>100</v>
      </c>
      <c r="I17" s="13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ran asa</cp:lastModifiedBy>
  <cp:lastPrinted>2018-08-15T13:51:24Z</cp:lastPrinted>
  <dcterms:created xsi:type="dcterms:W3CDTF">2018-07-29T15:33:45Z</dcterms:created>
  <dcterms:modified xsi:type="dcterms:W3CDTF">2018-08-15T14:27:19Z</dcterms:modified>
</cp:coreProperties>
</file>