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ir\Desktop\משרד העבודה\שרון\ירושלים\עין יעל מורדות גילה\דוחות\"/>
    </mc:Choice>
  </mc:AlternateContent>
  <bookViews>
    <workbookView xWindow="-105" yWindow="-105" windowWidth="19425" windowHeight="10425" activeTab="1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דוח!$A$1:$L$72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2" l="1"/>
  <c r="F39" i="2" l="1"/>
  <c r="F38" i="2"/>
  <c r="F37" i="2"/>
  <c r="U5" i="1"/>
  <c r="U6" i="1"/>
  <c r="U7" i="1"/>
  <c r="U8" i="1"/>
  <c r="U9" i="1"/>
  <c r="U10" i="1"/>
  <c r="U11" i="1"/>
  <c r="U12" i="1"/>
  <c r="U13" i="1"/>
  <c r="U14" i="1"/>
  <c r="U15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G4" i="1"/>
  <c r="U4" i="1"/>
  <c r="U49" i="1" l="1"/>
  <c r="G51" i="1" l="1"/>
  <c r="C50" i="2" l="1"/>
  <c r="A16" i="2" l="1"/>
  <c r="A17" i="2" s="1"/>
  <c r="A18" i="2" s="1"/>
  <c r="A19" i="2" s="1"/>
  <c r="A20" i="2" s="1"/>
  <c r="A21" i="2" s="1"/>
  <c r="F40" i="2" l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J13" i="1"/>
  <c r="H12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J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22" i="1" l="1"/>
  <c r="J8" i="1"/>
  <c r="J9" i="1"/>
  <c r="J4" i="1"/>
  <c r="I36" i="1"/>
  <c r="I10" i="1"/>
  <c r="J11" i="1" s="1"/>
  <c r="J28" i="1"/>
  <c r="J27" i="1"/>
  <c r="L46" i="1"/>
  <c r="N47" i="1" s="1"/>
  <c r="L4" i="1"/>
  <c r="I12" i="1"/>
  <c r="J18" i="1" s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D15" i="2"/>
  <c r="D19" i="2"/>
  <c r="Y19" i="2" s="1"/>
  <c r="D20" i="2"/>
  <c r="Y20" i="2" s="1"/>
  <c r="D17" i="2"/>
  <c r="Y17" i="2" s="1"/>
  <c r="D16" i="2"/>
  <c r="Y16" i="2" s="1"/>
  <c r="D18" i="2"/>
  <c r="Y18" i="2" s="1"/>
  <c r="Y15" i="2" l="1"/>
  <c r="D22" i="2"/>
  <c r="C26" i="2" s="1"/>
  <c r="X21" i="2"/>
  <c r="C21" i="2"/>
  <c r="Y23" i="2" l="1"/>
  <c r="Y22" i="2"/>
  <c r="Y24" i="2" l="1"/>
  <c r="X18" i="2" l="1"/>
  <c r="C18" i="2"/>
  <c r="X19" i="2"/>
  <c r="C19" i="2"/>
  <c r="C16" i="2"/>
  <c r="C17" i="2"/>
  <c r="X16" i="2"/>
  <c r="C20" i="2"/>
  <c r="X20" i="2"/>
  <c r="X17" i="2"/>
  <c r="X15" i="2"/>
  <c r="C15" i="2"/>
  <c r="C22" i="2" l="1"/>
  <c r="X22" i="2"/>
</calcChain>
</file>

<file path=xl/sharedStrings.xml><?xml version="1.0" encoding="utf-8"?>
<sst xmlns="http://schemas.openxmlformats.org/spreadsheetml/2006/main" count="507" uniqueCount="298">
  <si>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</si>
  <si>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</si>
  <si>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</si>
  <si>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</si>
  <si>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</si>
  <si>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</si>
  <si>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</si>
  <si>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</si>
  <si>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</si>
  <si>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</si>
  <si>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</si>
  <si>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</si>
  <si>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</si>
  <si>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</si>
  <si>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</si>
  <si>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</si>
  <si>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</si>
  <si>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</si>
  <si>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</si>
  <si>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</si>
  <si>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</si>
  <si>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</si>
  <si>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</si>
  <si>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</si>
  <si>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</si>
  <si>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</si>
  <si>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</si>
  <si>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</si>
  <si>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</si>
  <si>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</si>
  <si>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</si>
  <si>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</si>
  <si>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</si>
  <si>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</si>
  <si>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</si>
  <si>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</si>
  <si>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</si>
  <si>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</si>
  <si>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</si>
  <si>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</si>
  <si>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</si>
  <si>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</si>
  <si>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</si>
  <si>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</si>
  <si>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</si>
  <si>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</si>
  <si>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</si>
  <si>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</si>
  <si>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</si>
  <si>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</si>
  <si>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</si>
  <si>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</si>
  <si>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</si>
  <si>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</si>
  <si>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</si>
  <si>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</si>
  <si>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</si>
  <si>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</si>
  <si>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</si>
  <si>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</si>
  <si>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</si>
  <si>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</si>
  <si>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</si>
  <si>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</si>
  <si>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</si>
  <si>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</si>
  <si>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</si>
  <si>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נ"צ X:</t>
  </si>
  <si>
    <t>נ"צ Y:</t>
  </si>
  <si>
    <t>שטח בנוי:</t>
  </si>
  <si>
    <t>שם מנהל העבודה באתר:</t>
  </si>
  <si>
    <t>רמת בטיחות: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</si>
  <si>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</si>
  <si>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</si>
  <si>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</si>
  <si>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</si>
  <si>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</si>
  <si>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</si>
  <si>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</si>
  <si>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</si>
  <si>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</si>
  <si>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</si>
  <si>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</si>
  <si>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</si>
  <si>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</si>
  <si>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</si>
  <si>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</si>
  <si>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</si>
  <si>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</si>
  <si>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</si>
  <si>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</si>
  <si>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</si>
  <si>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</si>
  <si>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</si>
  <si>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</si>
  <si>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</si>
  <si>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סיכום סיור בפרויקט: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</si>
  <si>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</si>
  <si>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</si>
  <si>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</si>
  <si>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</si>
  <si>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</si>
  <si>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</si>
  <si>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</si>
  <si>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</si>
  <si>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</si>
  <si>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</si>
  <si>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</si>
  <si>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</si>
  <si>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</si>
  <si>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</si>
  <si>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</si>
  <si>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</si>
  <si>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ליקוי ל: קיום גידור (מעברים/מרפסות/ פיגומים)</t>
  </si>
  <si>
    <t>ליקוי ל: שמירת מרחק בטיחות מקווי חשמל עליים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</si>
  <si>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</si>
  <si>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</si>
  <si>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הנחת ציוד, חומרי בניין ופסולת על גבי ספי רצפות/מרפסות/מעקות</t>
  </si>
  <si>
    <t>ליקוי ל: קיום לוח רגל ברצפות פיגום זקפים</t>
  </si>
  <si>
    <t>ליקוי ל: שימוש בקסדות מגן</t>
  </si>
  <si>
    <t>ליקוי ל: תקינות הגידור – אזני יד/תיכון, זקפי גידור (מעברים/מרפסות/פיגומים)</t>
  </si>
  <si>
    <t>ליקוי ל:   פיגום זקפים – חוסר /תקינות קשירות זקפים למבנה</t>
  </si>
  <si>
    <t>ליקוי ל:   פיגום זקפים - חוסר באלכסונים, תקינות קשירות לזקפים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</si>
  <si>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</si>
  <si>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</si>
  <si>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</si>
  <si>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</si>
  <si>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</si>
  <si>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</si>
  <si>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</si>
  <si>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</si>
  <si>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</si>
  <si>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</si>
  <si>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</si>
  <si>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</si>
  <si>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</si>
  <si>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</si>
  <si>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</si>
  <si>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</si>
  <si>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</si>
  <si>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</si>
  <si>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</si>
  <si>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</si>
  <si>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</si>
  <si>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</si>
  <si>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</si>
  <si>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ליקוי ל:   שלטי ע.ע.ב  על גבי זרוע העגורן</t>
  </si>
  <si>
    <t>ליקוי ל:   שלטי פרסום על זרועות/תורן העגורן</t>
  </si>
  <si>
    <t>ליקוי ל: קיום לשונית אבטחה באונקל</t>
  </si>
  <si>
    <t>ליקוי ל: צורת הנפת מטענים בעינוב ואביזרי הרמה מתאימים/מאולתרים</t>
  </si>
  <si>
    <t>פיגום זקפים – תקינות רצפות/סולמות, עומס יתר</t>
  </si>
  <si>
    <t xml:space="preserve">  שלטי ע.ע.ב  על גבי זרוע העגורן</t>
  </si>
  <si>
    <t xml:space="preserve">  שלטי פרסום על זרועות/תורן העגורן</t>
  </si>
  <si>
    <t>מס' בניינים</t>
  </si>
  <si>
    <t>שרון מורדכי</t>
  </si>
  <si>
    <t>מס הזמנה:</t>
  </si>
  <si>
    <t>  פיגום זקפים – חוסר /תקינות קשירות זקפים למבנה</t>
  </si>
  <si>
    <t>  פיגום זקפים - חוסר באלכסונים, תקינות קשירות לזקפים</t>
  </si>
  <si>
    <t>  פיגום זקפים - חוסר בזקפים כפולים</t>
  </si>
  <si>
    <t>  פיגום זקפים - ביסוס לקוי</t>
  </si>
  <si>
    <t>  שימוש לקוי בתמיכות אלכסוניות למערכת טפסות</t>
  </si>
  <si>
    <t>   התקנת רשת בקיר חצוב למניעת הדרדרות אבנים</t>
  </si>
  <si>
    <t>  הנחת ציוד, חומרי בניין ופסולת על גבי ספי רצפות/מרפסות/מעקות</t>
  </si>
  <si>
    <t>זיהוי שימוש בשקים לשינוע פסולת בניה</t>
  </si>
  <si>
    <t>  קיום שלט במקום נראה לעין הכולל את פרטי המבצע, מנ"ע ומהות הבניה</t>
  </si>
  <si>
    <t>  פסולת בניה שפזורה בשטח האתר המהווה מכשולים</t>
  </si>
  <si>
    <t>ליקוי ל:   פיגום זקפים – תקינות רצפות/סולמות, עומס יתר</t>
  </si>
  <si>
    <t>ליקוי ל: שימוש בנעלי עבודה</t>
  </si>
  <si>
    <t>ליקוי ל: מבנה שירותים תקין (עם דלת)</t>
  </si>
  <si>
    <t>שימוש לקוי בתמיכות אלכסוניות למערכת טפסות</t>
  </si>
  <si>
    <t>נתון חסר</t>
  </si>
  <si>
    <t>ליקוי ל:   פסולת בניה שפזורה בשטח האתר המהווה מכשולים</t>
  </si>
  <si>
    <t>א.ציבורי סמוך:</t>
  </si>
  <si>
    <t>עבודה/אפיק:</t>
  </si>
  <si>
    <t>עין יעל- ירושלים</t>
  </si>
  <si>
    <t>4</t>
  </si>
  <si>
    <t>מורדות גילה</t>
  </si>
  <si>
    <t>ירושלים</t>
  </si>
  <si>
    <t>א.נ בידאס הנדסה בע"מ</t>
  </si>
  <si>
    <t>514773399</t>
  </si>
  <si>
    <t>ע. אהרון בע"מ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</si>
  <si>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</si>
  <si>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</si>
  <si>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</si>
  <si>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</si>
  <si>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</si>
  <si>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</si>
  <si>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</si>
  <si>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</si>
  <si>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</si>
  <si>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עמידת עובד ישירות על חלקי טפסות/ תבניות.</t>
  </si>
  <si>
    <t>4691FS</t>
  </si>
  <si>
    <t>4842FS</t>
  </si>
  <si>
    <t>4994FS</t>
  </si>
  <si>
    <t>7451FS</t>
  </si>
  <si>
    <t>7488FS</t>
  </si>
  <si>
    <t>7635FS</t>
  </si>
  <si>
    <t>7670FS</t>
  </si>
  <si>
    <t>7816FS</t>
  </si>
  <si>
    <t>4237FS</t>
  </si>
  <si>
    <t>3304FS</t>
  </si>
  <si>
    <t>  אי קשירת חבל רתמה לנקודת עיגון בטוחה.</t>
  </si>
  <si>
    <t>3798FS</t>
  </si>
  <si>
    <t>6882FS</t>
  </si>
  <si>
    <t>6933FS</t>
  </si>
  <si>
    <t>7065FS</t>
  </si>
  <si>
    <t>4095FS</t>
  </si>
  <si>
    <t>2648FS</t>
  </si>
  <si>
    <t>7121FS</t>
  </si>
  <si>
    <t>7217FS</t>
  </si>
  <si>
    <t>7303FS</t>
  </si>
  <si>
    <t>5063FS</t>
  </si>
  <si>
    <t>5214FS</t>
  </si>
  <si>
    <t>7913FS</t>
  </si>
  <si>
    <t>7998FS</t>
  </si>
  <si>
    <t>8032FS</t>
  </si>
  <si>
    <t>8177FS</t>
  </si>
  <si>
    <t>5274FS</t>
  </si>
  <si>
    <t>  פיגום זקפים – תקינות רצפות/סולמות, עומס יתר</t>
  </si>
  <si>
    <t>5429FS</t>
  </si>
  <si>
    <t>5551FS</t>
  </si>
  <si>
    <t>5671FS</t>
  </si>
  <si>
    <t>8274FS</t>
  </si>
  <si>
    <t>8296FS</t>
  </si>
  <si>
    <t>8454FS</t>
  </si>
  <si>
    <t>8476FS</t>
  </si>
  <si>
    <t>5782FS</t>
  </si>
  <si>
    <t>  פיגום זקפים  - עיגון זקף במקום  תליית זרוע גלגלת של כננת הרמה</t>
  </si>
  <si>
    <t>5894FS</t>
  </si>
  <si>
    <t>6002FS</t>
  </si>
  <si>
    <t>  שימוש לקוי בתמיכות אנכיות למערכת טפסות</t>
  </si>
  <si>
    <t>6057FS</t>
  </si>
  <si>
    <t>6201FS</t>
  </si>
  <si>
    <t>6257FS</t>
  </si>
  <si>
    <t>   ביצוע דיפון/שיפוע מתאים</t>
  </si>
  <si>
    <t>6366FS</t>
  </si>
  <si>
    <t>6504FS</t>
  </si>
  <si>
    <t>  שלטי פרסום על זרועות/תורן העגורן</t>
  </si>
  <si>
    <t>6559FS</t>
  </si>
  <si>
    <t>  שלטי ע.ע.ב  על גבי זרוע העגורן</t>
  </si>
  <si>
    <t>6693FS</t>
  </si>
  <si>
    <t>6746FS</t>
  </si>
  <si>
    <t>4672FS</t>
  </si>
  <si>
    <t>4824FS</t>
  </si>
  <si>
    <t>5014FS</t>
  </si>
  <si>
    <t>7458FS</t>
  </si>
  <si>
    <t>7482FS</t>
  </si>
  <si>
    <t>7640FS</t>
  </si>
  <si>
    <t>7666FS</t>
  </si>
  <si>
    <t>7821FS</t>
  </si>
  <si>
    <t>4196FS</t>
  </si>
  <si>
    <t>3367FS</t>
  </si>
  <si>
    <t>3826FS</t>
  </si>
  <si>
    <t>6894FS</t>
  </si>
  <si>
    <t>6918FS</t>
  </si>
  <si>
    <t>7083FS</t>
  </si>
  <si>
    <t>4117FS</t>
  </si>
  <si>
    <t>2695FS</t>
  </si>
  <si>
    <t>7105FS</t>
  </si>
  <si>
    <t>7200FS</t>
  </si>
  <si>
    <t>7297FS</t>
  </si>
  <si>
    <t>5047FS</t>
  </si>
  <si>
    <t>5230FS</t>
  </si>
  <si>
    <t>7909FS</t>
  </si>
  <si>
    <t>8003FS</t>
  </si>
  <si>
    <t>8028FS</t>
  </si>
  <si>
    <t>8182FS</t>
  </si>
  <si>
    <t>5262FS</t>
  </si>
  <si>
    <t>5444FS</t>
  </si>
  <si>
    <t>5579FS</t>
  </si>
  <si>
    <t>5691FS</t>
  </si>
  <si>
    <t>8270FS</t>
  </si>
  <si>
    <t>8301FS</t>
  </si>
  <si>
    <t>8450FS</t>
  </si>
  <si>
    <t>8481FS</t>
  </si>
  <si>
    <t>5810FS</t>
  </si>
  <si>
    <t>5916FS</t>
  </si>
  <si>
    <t>6021FS</t>
  </si>
  <si>
    <t>6037FS</t>
  </si>
  <si>
    <t>6222FS</t>
  </si>
  <si>
    <t>6238FS</t>
  </si>
  <si>
    <t>6348FS</t>
  </si>
  <si>
    <t>6518FS</t>
  </si>
  <si>
    <t>6545FS</t>
  </si>
  <si>
    <t>6706FS</t>
  </si>
  <si>
    <t>6732FS</t>
  </si>
  <si>
    <t>ליקוי ל: שימוש ברתמות בטיחות.</t>
  </si>
  <si>
    <t>ליקוי ל: עמידה על משטחי עבודה מאולתרים</t>
  </si>
  <si>
    <t>ליקוי ל: זיהוי אתת המצויד במכשיר קשר/או באמצעות סימני ידיים מוסכמים</t>
  </si>
  <si>
    <t>ליקוי ל: קיום מובל סגור (שוקת)  רציף ותקין, גידור מיקום השלכת פסולת</t>
  </si>
  <si>
    <t>ליקוי ל: רתום/אבטחת משקולות בסיס</t>
  </si>
  <si>
    <t>ליקוי ל:   פיגום זקפים - ביסוס לקוי</t>
  </si>
  <si>
    <t>30964</t>
  </si>
  <si>
    <t>62/68/79/80</t>
  </si>
  <si>
    <t>31.736316</t>
  </si>
  <si>
    <t>בית ספר גילה ב'</t>
  </si>
  <si>
    <t>מבנים 3+4 לדוח</t>
  </si>
  <si>
    <t xml:space="preserve">אתר בניה בינוני הכלול 4 מבנים,  נושא הבטיחות בתחום סכנת נפילת אדם (הגידורים בעיקר במרפסות ובפיגומים )  לוקה בחסר, קיים חוסר סדר וארגון,
 משמעת העובדים מבחינת ציוד אישי אינה גבוה.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</si>
</sst>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0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8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0" fillId="0" borderId="0" xfId="0" applyNumberFormat="1" applyFill="1" applyAlignment="1" applyProtection="1"/>
    <xf numFmtId="0" fontId="7" fillId="0" borderId="0" xfId="0" applyFont="1" applyAlignment="1">
      <alignment horizontal="left"/>
    </xf>
    <xf numFmtId="0" fontId="15" fillId="0" borderId="0" xfId="3" applyNumberFormat="1" applyFill="1" applyAlignment="1" applyProtection="1"/>
    <xf numFmtId="16" fontId="0" fillId="0" borderId="2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0" fontId="17" fillId="0" borderId="0" xfId="0" applyFont="1"/>
    <xf numFmtId="14" fontId="0" fillId="0" borderId="0" xfId="0" applyNumberFormat="1" applyFill="1" applyAlignment="1" applyProtection="1"/>
    <xf numFmtId="49" fontId="18" fillId="0" borderId="0" xfId="0" applyNumberFormat="1" applyFont="1" applyAlignment="1">
      <alignment horizontal="right"/>
    </xf>
    <xf numFmtId="3" fontId="18" fillId="0" borderId="0" xfId="0" applyNumberFormat="1" applyFont="1"/>
    <xf numFmtId="20" fontId="18" fillId="0" borderId="0" xfId="0" applyNumberFormat="1" applyFont="1"/>
    <xf numFmtId="14" fontId="18" fillId="0" borderId="0" xfId="0" applyNumberFormat="1" applyFont="1"/>
    <xf numFmtId="0" fontId="18" fillId="0" borderId="0" xfId="0" applyFont="1"/>
    <xf numFmtId="49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4" borderId="0" xfId="0" applyFont="1" applyFill="1" applyAlignment="1"/>
    <xf numFmtId="0" fontId="18" fillId="0" borderId="25" xfId="0" applyFont="1" applyBorder="1"/>
    <xf numFmtId="0" fontId="18" fillId="0" borderId="26" xfId="0" applyFont="1" applyBorder="1"/>
    <xf numFmtId="0" fontId="18" fillId="0" borderId="2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top" wrapText="1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0.33666666666666667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3.2306397306397304E-2</c:v>
                </c:pt>
                <c:pt idx="1">
                  <c:v>0.13092206790123456</c:v>
                </c:pt>
                <c:pt idx="2">
                  <c:v>7.2222222222222228E-3</c:v>
                </c:pt>
                <c:pt idx="3">
                  <c:v>5.2023809523809528E-2</c:v>
                </c:pt>
                <c:pt idx="4">
                  <c:v>2.6916666666666665E-2</c:v>
                </c:pt>
                <c:pt idx="5">
                  <c:v>3.833333333333333E-2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395771920"/>
        <c:axId val="395771136"/>
      </c:barChart>
      <c:catAx>
        <c:axId val="3957719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95771136"/>
        <c:crosses val="autoZero"/>
        <c:auto val="1"/>
        <c:lblAlgn val="ctr"/>
        <c:lblOffset val="100"/>
        <c:noMultiLvlLbl val="0"/>
      </c:catAx>
      <c:valAx>
        <c:axId val="395771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9577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=""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=""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=""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=""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=""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=""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=""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6</xdr:col>
      <xdr:colOff>724459</xdr:colOff>
      <xdr:row>0</xdr:row>
      <xdr:rowOff>51546</xdr:rowOff>
    </xdr:from>
    <xdr:to>
      <xdr:col>10</xdr:col>
      <xdr:colOff>116445</xdr:colOff>
      <xdr:row>3</xdr:row>
      <xdr:rowOff>163747</xdr:rowOff>
    </xdr:to>
    <xdr:pic>
      <xdr:nvPicPr>
        <xdr:cNvPr id="11" name="תמונה 10">
          <a:extLst>
            <a:ext uri="{FF2B5EF4-FFF2-40B4-BE49-F238E27FC236}">
              <a16:creationId xmlns=""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3663555" y="51546"/>
          <a:ext cx="2832192" cy="6949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1:I123" totalsRowShown="0">
  <autoFilter ref="A1:I123"/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rightToLeft="1" zoomScale="85" zoomScaleNormal="85" workbookViewId="0">
      <selection activeCell="B61" sqref="B61"/>
    </sheetView>
  </sheetViews>
  <sheetFormatPr defaultRowHeight="14.25" x14ac:dyDescent="0.2"/>
  <cols>
    <col min="1" max="1" width="7.625" customWidth="1"/>
    <col min="2" max="2" width="19" customWidth="1"/>
    <col min="3" max="3" width="11.25" customWidth="1"/>
    <col min="4" max="4" width="12.12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2.5" customWidth="1"/>
    <col min="10" max="10" width="7.25" customWidth="1"/>
    <col min="11" max="11" width="8.375" customWidth="1" collapsed="1"/>
    <col min="12" max="12" width="3.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25" ht="18" x14ac:dyDescent="0.25">
      <c r="A2" s="99" t="s">
        <v>96</v>
      </c>
      <c r="B2" s="99"/>
      <c r="C2" s="140" t="s">
        <v>174</v>
      </c>
      <c r="D2" s="100"/>
      <c r="E2" s="98"/>
      <c r="F2" s="98"/>
      <c r="G2" s="98"/>
      <c r="H2" s="98"/>
      <c r="I2" s="98"/>
      <c r="J2" s="98"/>
      <c r="K2" s="98"/>
      <c r="L2" s="98"/>
      <c r="X2" s="60"/>
    </row>
    <row r="3" spans="1:25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R3" s="51"/>
      <c r="X3" s="60"/>
    </row>
    <row r="4" spans="1:25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R4" s="51"/>
      <c r="X4" s="60"/>
    </row>
    <row r="5" spans="1:25" ht="18" x14ac:dyDescent="0.25">
      <c r="A5" s="112" t="s">
        <v>105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R5" s="51"/>
      <c r="X5" s="60"/>
    </row>
    <row r="6" spans="1:25" ht="15" x14ac:dyDescent="0.25">
      <c r="B6" s="49" t="s">
        <v>66</v>
      </c>
      <c r="C6" t="s">
        <v>154</v>
      </c>
      <c r="D6" s="49" t="s">
        <v>94</v>
      </c>
      <c r="E6">
        <v>52994688</v>
      </c>
      <c r="G6" s="49" t="s">
        <v>63</v>
      </c>
      <c r="H6" s="135">
        <v>43432</v>
      </c>
      <c r="I6" s="49" t="s">
        <v>64</v>
      </c>
      <c r="J6" s="134">
        <v>0.54166666666666663</v>
      </c>
      <c r="R6" s="51"/>
      <c r="X6" s="60"/>
    </row>
    <row r="7" spans="1:25" ht="15.75" customHeight="1" x14ac:dyDescent="0.25">
      <c r="B7" s="49" t="s">
        <v>65</v>
      </c>
      <c r="D7" s="49" t="s">
        <v>94</v>
      </c>
      <c r="F7" s="144" t="s">
        <v>70</v>
      </c>
      <c r="G7" s="144"/>
      <c r="H7" s="132" t="s">
        <v>170</v>
      </c>
      <c r="I7" s="49" t="s">
        <v>173</v>
      </c>
      <c r="J7" s="136">
        <v>233155</v>
      </c>
      <c r="R7" s="51"/>
      <c r="X7" s="60"/>
    </row>
    <row r="8" spans="1:25" ht="15" x14ac:dyDescent="0.25">
      <c r="B8" s="49" t="s">
        <v>153</v>
      </c>
      <c r="C8" s="132" t="s">
        <v>175</v>
      </c>
      <c r="D8" s="49" t="s">
        <v>69</v>
      </c>
      <c r="E8" s="133">
        <v>11200</v>
      </c>
      <c r="G8" s="49" t="s">
        <v>72</v>
      </c>
      <c r="H8" s="132" t="s">
        <v>180</v>
      </c>
      <c r="I8" s="49" t="s">
        <v>74</v>
      </c>
      <c r="J8" s="132" t="s">
        <v>170</v>
      </c>
      <c r="X8" s="60"/>
    </row>
    <row r="9" spans="1:25" ht="15" x14ac:dyDescent="0.25">
      <c r="B9" s="49" t="s">
        <v>67</v>
      </c>
      <c r="C9" s="132" t="s">
        <v>294</v>
      </c>
      <c r="D9" s="49" t="s">
        <v>68</v>
      </c>
      <c r="E9" s="139">
        <v>35.176273000000002</v>
      </c>
      <c r="G9" s="49" t="s">
        <v>73</v>
      </c>
      <c r="H9" s="132" t="s">
        <v>178</v>
      </c>
      <c r="I9" s="49" t="s">
        <v>75</v>
      </c>
      <c r="J9" s="137" t="s">
        <v>179</v>
      </c>
      <c r="X9" s="60"/>
    </row>
    <row r="10" spans="1:25" ht="15" x14ac:dyDescent="0.25">
      <c r="B10" s="76" t="s">
        <v>110</v>
      </c>
      <c r="C10" s="132" t="s">
        <v>292</v>
      </c>
      <c r="D10" s="76" t="s">
        <v>111</v>
      </c>
      <c r="E10" s="139" t="s">
        <v>293</v>
      </c>
      <c r="G10" s="76" t="s">
        <v>107</v>
      </c>
      <c r="H10" s="136" t="s">
        <v>177</v>
      </c>
      <c r="I10" s="76" t="s">
        <v>109</v>
      </c>
      <c r="J10" s="138" t="s">
        <v>170</v>
      </c>
      <c r="X10" s="60"/>
    </row>
    <row r="11" spans="1:25" ht="15" x14ac:dyDescent="0.25">
      <c r="B11" s="61" t="s">
        <v>155</v>
      </c>
      <c r="C11">
        <v>4501612599</v>
      </c>
      <c r="D11" s="61"/>
      <c r="G11" s="76" t="s">
        <v>108</v>
      </c>
      <c r="H11" s="132" t="s">
        <v>176</v>
      </c>
      <c r="I11" s="126" t="s">
        <v>172</v>
      </c>
      <c r="J11" s="136" t="s">
        <v>295</v>
      </c>
      <c r="K11" s="130"/>
      <c r="X11" s="60"/>
    </row>
    <row r="12" spans="1:25" ht="18" x14ac:dyDescent="0.25">
      <c r="A12" s="112" t="s">
        <v>106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X12" s="60"/>
    </row>
    <row r="13" spans="1:25" ht="9" customHeight="1" thickBot="1" x14ac:dyDescent="0.25">
      <c r="U13" s="2"/>
      <c r="V13" s="1"/>
      <c r="X13" s="60"/>
    </row>
    <row r="14" spans="1:25" ht="15.75" thickBot="1" x14ac:dyDescent="0.3">
      <c r="A14" s="80"/>
      <c r="B14" s="81" t="s">
        <v>53</v>
      </c>
      <c r="C14" s="81" t="s">
        <v>90</v>
      </c>
      <c r="D14" s="82" t="s">
        <v>44</v>
      </c>
      <c r="U14" s="2"/>
      <c r="V14" s="1"/>
      <c r="X14" s="60"/>
    </row>
    <row r="15" spans="1:25" x14ac:dyDescent="0.2">
      <c r="A15" s="93">
        <v>1</v>
      </c>
      <c r="B15" s="94" t="str">
        <f>'שקלול הציון'!A4</f>
        <v>סכנת נפילת אדם</v>
      </c>
      <c r="C15" s="66">
        <f t="shared" ref="C15:C21" si="0">IF(Y15="",$Y$24+W15,0)</f>
        <v>0.33666666666666667</v>
      </c>
      <c r="D15" s="67">
        <f>'שקלול הציון'!Q4</f>
        <v>3.2306397306397304E-2</v>
      </c>
      <c r="U15" s="2"/>
      <c r="V15" s="1"/>
      <c r="W15" s="86">
        <v>0.33</v>
      </c>
      <c r="X15" s="87">
        <f t="shared" ref="X15:X21" si="1">IF(Y15="",$Y$24,0)</f>
        <v>6.6666666666666671E-3</v>
      </c>
      <c r="Y15" s="88" t="str">
        <f t="shared" ref="Y15:Y21" si="2">IF(D15=0,W15,"")</f>
        <v/>
      </c>
    </row>
    <row r="16" spans="1:25" x14ac:dyDescent="0.2">
      <c r="A16" s="93">
        <f>A15+1</f>
        <v>2</v>
      </c>
      <c r="B16" s="94" t="str">
        <f>'שקלול הציון'!A12</f>
        <v>סכנת התמוטטות</v>
      </c>
      <c r="C16" s="66">
        <f t="shared" si="0"/>
        <v>0.36666666666666664</v>
      </c>
      <c r="D16" s="67">
        <f>'שקלול הציון'!Q12</f>
        <v>0.13092206790123456</v>
      </c>
      <c r="U16" s="2"/>
      <c r="V16" s="1"/>
      <c r="W16" s="89">
        <v>0.36</v>
      </c>
      <c r="X16" s="90">
        <f t="shared" si="1"/>
        <v>6.6666666666666671E-3</v>
      </c>
      <c r="Y16" s="91" t="str">
        <f t="shared" si="2"/>
        <v/>
      </c>
    </row>
    <row r="17" spans="1:25" x14ac:dyDescent="0.2">
      <c r="A17" s="93">
        <f t="shared" ref="A17:A21" si="3">A16+1</f>
        <v>3</v>
      </c>
      <c r="B17" s="94" t="str">
        <f>'שקלול הציון'!A30</f>
        <v>נפילת חפצים ופסולת מגובה</v>
      </c>
      <c r="C17" s="66">
        <f t="shared" si="0"/>
        <v>8.666666666666667E-2</v>
      </c>
      <c r="D17" s="67">
        <f>'שקלול הציון'!Q30</f>
        <v>7.2222222222222228E-3</v>
      </c>
      <c r="U17" s="2"/>
      <c r="V17" s="1"/>
      <c r="W17" s="89">
        <v>0.08</v>
      </c>
      <c r="X17" s="90">
        <f t="shared" si="1"/>
        <v>6.6666666666666671E-3</v>
      </c>
      <c r="Y17" s="91" t="str">
        <f t="shared" si="2"/>
        <v/>
      </c>
    </row>
    <row r="18" spans="1:25" x14ac:dyDescent="0.2">
      <c r="A18" s="93">
        <f t="shared" si="3"/>
        <v>4</v>
      </c>
      <c r="B18" s="94" t="str">
        <f>'שקלול הציון'!A34</f>
        <v>סיכוני שינוע</v>
      </c>
      <c r="C18" s="66">
        <f t="shared" si="0"/>
        <v>7.6666666666666675E-2</v>
      </c>
      <c r="D18" s="67">
        <f>'שקלול הציון'!Q34</f>
        <v>5.2023809523809528E-2</v>
      </c>
      <c r="U18" s="2"/>
      <c r="V18" s="1"/>
      <c r="W18" s="89">
        <v>7.0000000000000007E-2</v>
      </c>
      <c r="X18" s="90">
        <f t="shared" si="1"/>
        <v>6.6666666666666671E-3</v>
      </c>
      <c r="Y18" s="91" t="str">
        <f t="shared" si="2"/>
        <v/>
      </c>
    </row>
    <row r="19" spans="1:25" x14ac:dyDescent="0.2">
      <c r="A19" s="93">
        <f t="shared" si="3"/>
        <v>5</v>
      </c>
      <c r="B19" s="94" t="str">
        <f>'שקלול הציון'!A39</f>
        <v>שימוש בציוד מגן</v>
      </c>
      <c r="C19" s="66">
        <f t="shared" si="0"/>
        <v>5.6666666666666671E-2</v>
      </c>
      <c r="D19" s="67">
        <f>'שקלול הציון'!Q39</f>
        <v>2.6916666666666665E-2</v>
      </c>
      <c r="U19" s="2"/>
      <c r="V19" s="1"/>
      <c r="W19" s="89">
        <v>0.05</v>
      </c>
      <c r="X19" s="90">
        <f t="shared" si="1"/>
        <v>6.6666666666666671E-3</v>
      </c>
      <c r="Y19" s="91" t="str">
        <f t="shared" si="2"/>
        <v/>
      </c>
    </row>
    <row r="20" spans="1:25" x14ac:dyDescent="0.2">
      <c r="A20" s="93">
        <f t="shared" si="3"/>
        <v>6</v>
      </c>
      <c r="B20" s="94" t="str">
        <f>'שקלול הציון'!A42</f>
        <v>רמת ארגון אתר</v>
      </c>
      <c r="C20" s="66">
        <f t="shared" si="0"/>
        <v>7.6666666666666675E-2</v>
      </c>
      <c r="D20" s="67">
        <f>'שקלול הציון'!Q42</f>
        <v>3.833333333333333E-2</v>
      </c>
      <c r="U20" s="2"/>
      <c r="V20" s="1"/>
      <c r="W20" s="89">
        <v>7.0000000000000007E-2</v>
      </c>
      <c r="X20" s="90">
        <f t="shared" si="1"/>
        <v>6.6666666666666671E-3</v>
      </c>
      <c r="Y20" s="91" t="str">
        <f t="shared" si="2"/>
        <v/>
      </c>
    </row>
    <row r="21" spans="1:25" x14ac:dyDescent="0.2">
      <c r="A21" s="93">
        <f t="shared" si="3"/>
        <v>7</v>
      </c>
      <c r="B21" s="94" t="str">
        <f>'שקלול הציון'!A46</f>
        <v>סיכוני עבודה חמה</v>
      </c>
      <c r="C21" s="66">
        <f t="shared" si="0"/>
        <v>0</v>
      </c>
      <c r="D21" s="67">
        <f>'שקלול הציון'!Q46</f>
        <v>0</v>
      </c>
      <c r="U21" s="2"/>
      <c r="V21" s="1"/>
      <c r="W21" s="89">
        <v>0.04</v>
      </c>
      <c r="X21" s="90">
        <f t="shared" si="1"/>
        <v>0</v>
      </c>
      <c r="Y21" s="91">
        <f t="shared" si="2"/>
        <v>0.04</v>
      </c>
    </row>
    <row r="22" spans="1:25" ht="15" thickBot="1" x14ac:dyDescent="0.25">
      <c r="A22" s="101"/>
      <c r="B22" s="101" t="s">
        <v>91</v>
      </c>
      <c r="C22" s="102">
        <f>SUM(C15:C21)</f>
        <v>1</v>
      </c>
      <c r="D22" s="103">
        <f>SUM(D15:D21)</f>
        <v>0.28772449695366364</v>
      </c>
      <c r="U22" s="2"/>
      <c r="V22" s="1"/>
      <c r="W22" s="3"/>
      <c r="X22" s="90">
        <f>SUM(X15:X21)</f>
        <v>0.04</v>
      </c>
      <c r="Y22" s="92">
        <f>SUM(Y15:Y21)</f>
        <v>0.04</v>
      </c>
    </row>
    <row r="23" spans="1:25" ht="15" thickBot="1" x14ac:dyDescent="0.25">
      <c r="U23" s="2"/>
      <c r="V23" s="1"/>
      <c r="W23" s="3"/>
      <c r="X23" s="62"/>
      <c r="Y23" s="91">
        <f>COUNT(Y15:Y21)</f>
        <v>1</v>
      </c>
    </row>
    <row r="24" spans="1:25" ht="15.75" customHeight="1" thickBot="1" x14ac:dyDescent="0.25">
      <c r="A24" s="115"/>
      <c r="B24" s="116"/>
      <c r="C24" s="116"/>
      <c r="D24" s="117"/>
      <c r="R24" s="51"/>
      <c r="W24" s="63"/>
      <c r="X24" s="64"/>
      <c r="Y24" s="65">
        <f>Y22/(7-Y23)</f>
        <v>6.6666666666666671E-3</v>
      </c>
    </row>
    <row r="25" spans="1:25" ht="15" customHeight="1" x14ac:dyDescent="0.2">
      <c r="A25" s="118"/>
      <c r="B25" s="95"/>
      <c r="C25" s="95"/>
      <c r="D25" s="119"/>
      <c r="R25" s="51"/>
      <c r="W25" s="74"/>
      <c r="X25" s="60"/>
    </row>
    <row r="26" spans="1:25" ht="15" customHeight="1" x14ac:dyDescent="0.2">
      <c r="A26" s="118"/>
      <c r="B26" s="95" t="s">
        <v>71</v>
      </c>
      <c r="C26" s="95" t="str">
        <f>IF(D22&gt;0.8,"גבוהה",IF(D22&lt;0.4,"נמוכה","בינונית"))</f>
        <v>נמוכה</v>
      </c>
      <c r="D26" s="119"/>
      <c r="R26" s="51"/>
      <c r="W26" s="74"/>
      <c r="X26" s="60"/>
    </row>
    <row r="27" spans="1:25" ht="23.25" x14ac:dyDescent="0.2">
      <c r="A27" s="120"/>
      <c r="B27" s="96"/>
      <c r="C27" s="96"/>
      <c r="D27" s="119"/>
      <c r="R27" s="51"/>
      <c r="W27" s="74"/>
      <c r="X27" s="60"/>
    </row>
    <row r="28" spans="1:25" ht="15" thickBot="1" x14ac:dyDescent="0.25">
      <c r="A28" s="121"/>
      <c r="B28" s="122"/>
      <c r="C28" s="122"/>
      <c r="D28" s="123"/>
      <c r="R28" s="51"/>
      <c r="W28" s="74"/>
      <c r="X28" s="60"/>
    </row>
    <row r="29" spans="1:25" x14ac:dyDescent="0.2">
      <c r="R29" s="51"/>
      <c r="W29" s="74"/>
      <c r="X29" s="60"/>
    </row>
    <row r="30" spans="1:25" x14ac:dyDescent="0.2">
      <c r="R30" s="51"/>
      <c r="W30" s="74"/>
      <c r="X30" s="60"/>
    </row>
    <row r="31" spans="1:25" x14ac:dyDescent="0.2">
      <c r="R31" s="51"/>
      <c r="W31" s="74"/>
      <c r="X31" s="60"/>
    </row>
    <row r="32" spans="1:25" x14ac:dyDescent="0.2">
      <c r="R32" s="51"/>
      <c r="W32" s="74"/>
      <c r="X32" s="60"/>
    </row>
    <row r="33" spans="1:12" ht="18" x14ac:dyDescent="0.25">
      <c r="A33" s="112" t="s">
        <v>92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1:12" ht="7.5" customHeight="1" thickBot="1" x14ac:dyDescent="0.3">
      <c r="A34" s="75"/>
    </row>
    <row r="35" spans="1:12" ht="28.5" x14ac:dyDescent="0.2">
      <c r="B35" s="77" t="s">
        <v>76</v>
      </c>
      <c r="C35" s="78" t="s">
        <v>77</v>
      </c>
      <c r="D35" s="78" t="s">
        <v>78</v>
      </c>
      <c r="E35" s="78" t="s">
        <v>80</v>
      </c>
      <c r="F35" s="79" t="s">
        <v>79</v>
      </c>
    </row>
    <row r="36" spans="1:12" x14ac:dyDescent="0.2">
      <c r="B36" s="128">
        <v>43556</v>
      </c>
      <c r="C36" s="70"/>
      <c r="D36" s="141">
        <v>28</v>
      </c>
      <c r="E36" s="141">
        <v>400</v>
      </c>
      <c r="F36" s="142">
        <f>E36*D36</f>
        <v>11200</v>
      </c>
    </row>
    <row r="37" spans="1:12" x14ac:dyDescent="0.2">
      <c r="B37" s="129"/>
      <c r="C37" s="70"/>
      <c r="D37" s="70"/>
      <c r="E37" s="70"/>
      <c r="F37" s="71">
        <f t="shared" ref="F37:F39" si="4">E37*D37</f>
        <v>0</v>
      </c>
    </row>
    <row r="38" spans="1:12" x14ac:dyDescent="0.2">
      <c r="B38" s="69"/>
      <c r="C38" s="70"/>
      <c r="D38" s="70"/>
      <c r="E38" s="70"/>
      <c r="F38" s="71">
        <f t="shared" si="4"/>
        <v>0</v>
      </c>
    </row>
    <row r="39" spans="1:12" ht="15" thickBot="1" x14ac:dyDescent="0.25">
      <c r="B39" s="68"/>
      <c r="C39" s="72"/>
      <c r="D39" s="72"/>
      <c r="E39" s="72"/>
      <c r="F39" s="73">
        <f t="shared" si="4"/>
        <v>0</v>
      </c>
    </row>
    <row r="40" spans="1:12" ht="15.75" thickBot="1" x14ac:dyDescent="0.3">
      <c r="C40" s="49"/>
      <c r="D40" s="52"/>
      <c r="E40" s="104" t="s">
        <v>91</v>
      </c>
      <c r="F40" s="105">
        <f>SUM(F36:F39)</f>
        <v>11200</v>
      </c>
    </row>
    <row r="41" spans="1:12" ht="15" x14ac:dyDescent="0.25">
      <c r="C41" s="76"/>
      <c r="D41" s="52"/>
      <c r="F41" s="76"/>
    </row>
    <row r="42" spans="1:12" ht="18" x14ac:dyDescent="0.25">
      <c r="A42" s="112" t="s">
        <v>81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</row>
    <row r="43" spans="1:12" ht="9" customHeight="1" thickBot="1" x14ac:dyDescent="0.3">
      <c r="A43" s="75"/>
      <c r="E43" s="48"/>
    </row>
    <row r="44" spans="1:12" ht="15" x14ac:dyDescent="0.25">
      <c r="B44" s="83" t="s">
        <v>82</v>
      </c>
      <c r="C44" s="110" t="s">
        <v>83</v>
      </c>
      <c r="D44" s="84" t="s">
        <v>84</v>
      </c>
      <c r="E44" s="48"/>
    </row>
    <row r="45" spans="1:12" ht="15" x14ac:dyDescent="0.25">
      <c r="B45" s="69" t="s">
        <v>85</v>
      </c>
      <c r="C45" s="143">
        <v>2</v>
      </c>
      <c r="D45" s="71" t="s">
        <v>296</v>
      </c>
      <c r="E45" s="48"/>
    </row>
    <row r="46" spans="1:12" ht="15" x14ac:dyDescent="0.25">
      <c r="B46" s="69" t="s">
        <v>86</v>
      </c>
      <c r="C46" s="107"/>
      <c r="D46" s="71"/>
      <c r="E46" s="48"/>
    </row>
    <row r="47" spans="1:12" ht="15" x14ac:dyDescent="0.25">
      <c r="B47" s="69" t="s">
        <v>87</v>
      </c>
      <c r="C47" s="107"/>
      <c r="D47" s="71"/>
      <c r="E47" s="48"/>
    </row>
    <row r="48" spans="1:12" ht="15" x14ac:dyDescent="0.25">
      <c r="B48" s="69" t="s">
        <v>88</v>
      </c>
      <c r="C48" s="107"/>
      <c r="D48" s="71"/>
      <c r="E48" s="48"/>
    </row>
    <row r="49" spans="1:12" ht="15.75" thickBot="1" x14ac:dyDescent="0.3">
      <c r="B49" s="68" t="s">
        <v>89</v>
      </c>
      <c r="C49" s="108"/>
      <c r="D49" s="73"/>
      <c r="E49" s="48"/>
    </row>
    <row r="50" spans="1:12" ht="15.75" thickBot="1" x14ac:dyDescent="0.3">
      <c r="B50" s="106" t="s">
        <v>104</v>
      </c>
      <c r="C50" s="109">
        <f>SUM(C45:C49)</f>
        <v>2</v>
      </c>
      <c r="E50" s="48"/>
    </row>
    <row r="51" spans="1:12" ht="15" x14ac:dyDescent="0.25">
      <c r="C51" s="76"/>
      <c r="E51" s="48"/>
    </row>
    <row r="52" spans="1:12" ht="15" x14ac:dyDescent="0.25">
      <c r="E52" s="48"/>
    </row>
    <row r="53" spans="1:12" ht="18" x14ac:dyDescent="0.25">
      <c r="A53" s="112" t="s">
        <v>93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</row>
    <row r="54" spans="1:12" ht="7.5" customHeight="1" thickBot="1" x14ac:dyDescent="0.3">
      <c r="A54" s="75"/>
      <c r="B54" s="48"/>
      <c r="E54" s="48"/>
    </row>
    <row r="55" spans="1:12" x14ac:dyDescent="0.2">
      <c r="B55" s="145" t="s">
        <v>297</v>
      </c>
      <c r="C55" s="146"/>
      <c r="D55" s="146"/>
      <c r="E55" s="146"/>
      <c r="F55" s="146"/>
      <c r="G55" s="146"/>
      <c r="H55" s="146"/>
      <c r="I55" s="146"/>
      <c r="J55" s="146"/>
      <c r="K55" s="147"/>
    </row>
    <row r="56" spans="1:12" x14ac:dyDescent="0.2">
      <c r="B56" s="148"/>
      <c r="C56" s="149"/>
      <c r="D56" s="149"/>
      <c r="E56" s="149"/>
      <c r="F56" s="149"/>
      <c r="G56" s="149"/>
      <c r="H56" s="149"/>
      <c r="I56" s="149"/>
      <c r="J56" s="149"/>
      <c r="K56" s="150"/>
    </row>
    <row r="57" spans="1:12" x14ac:dyDescent="0.2">
      <c r="B57" s="148"/>
      <c r="C57" s="149"/>
      <c r="D57" s="149"/>
      <c r="E57" s="149"/>
      <c r="F57" s="149"/>
      <c r="G57" s="149"/>
      <c r="H57" s="149"/>
      <c r="I57" s="149"/>
      <c r="J57" s="149"/>
      <c r="K57" s="150"/>
    </row>
    <row r="58" spans="1:12" x14ac:dyDescent="0.2">
      <c r="B58" s="148"/>
      <c r="C58" s="149"/>
      <c r="D58" s="149"/>
      <c r="E58" s="149"/>
      <c r="F58" s="149"/>
      <c r="G58" s="149"/>
      <c r="H58" s="149"/>
      <c r="I58" s="149"/>
      <c r="J58" s="149"/>
      <c r="K58" s="150"/>
    </row>
    <row r="59" spans="1:12" x14ac:dyDescent="0.2">
      <c r="B59" s="148"/>
      <c r="C59" s="149"/>
      <c r="D59" s="149"/>
      <c r="E59" s="149"/>
      <c r="F59" s="149"/>
      <c r="G59" s="149"/>
      <c r="H59" s="149"/>
      <c r="I59" s="149"/>
      <c r="J59" s="149"/>
      <c r="K59" s="150"/>
    </row>
    <row r="60" spans="1:12" ht="15" thickBot="1" x14ac:dyDescent="0.25">
      <c r="B60" s="151"/>
      <c r="C60" s="152"/>
      <c r="D60" s="152"/>
      <c r="E60" s="152"/>
      <c r="F60" s="152"/>
      <c r="G60" s="152"/>
      <c r="H60" s="152"/>
      <c r="I60" s="152"/>
      <c r="J60" s="152"/>
      <c r="K60" s="153"/>
    </row>
    <row r="62" spans="1:12" ht="18" x14ac:dyDescent="0.25">
      <c r="A62" s="112" t="s">
        <v>98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</row>
    <row r="63" spans="1:12" ht="9" customHeight="1" x14ac:dyDescent="0.2"/>
    <row r="64" spans="1:12" s="97" customFormat="1" ht="21.75" customHeight="1" x14ac:dyDescent="0.2">
      <c r="B64" s="97" t="s">
        <v>99</v>
      </c>
      <c r="G64" s="97" t="s">
        <v>101</v>
      </c>
    </row>
    <row r="65" spans="1:12" s="97" customFormat="1" ht="21.75" customHeight="1" x14ac:dyDescent="0.2">
      <c r="B65" s="97" t="s">
        <v>97</v>
      </c>
      <c r="G65" s="97" t="s">
        <v>102</v>
      </c>
    </row>
    <row r="66" spans="1:12" s="97" customFormat="1" ht="21.75" customHeight="1" x14ac:dyDescent="0.2">
      <c r="B66" s="97" t="s">
        <v>100</v>
      </c>
      <c r="G66" s="97" t="s">
        <v>103</v>
      </c>
    </row>
    <row r="69" spans="1:12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1:12" ht="18" x14ac:dyDescent="0.25">
      <c r="A70" s="99"/>
      <c r="B70" s="99"/>
      <c r="C70" s="98"/>
      <c r="D70" s="100"/>
      <c r="E70" s="98"/>
      <c r="F70" s="98"/>
      <c r="G70" s="98"/>
      <c r="H70" s="98"/>
      <c r="I70" s="98"/>
      <c r="J70" s="98"/>
      <c r="K70" s="98"/>
      <c r="L70" s="98"/>
    </row>
    <row r="71" spans="1:12" x14ac:dyDescent="0.2">
      <c r="A71" s="98" t="s">
        <v>95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1:12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</row>
  </sheetData>
  <mergeCells count="2">
    <mergeCell ref="F7:G7"/>
    <mergeCell ref="B55:K60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rightToLeft="1" tabSelected="1" topLeftCell="A7" workbookViewId="0">
      <selection activeCell="Y14" sqref="Y14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8.25" bestFit="1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21" ht="18" x14ac:dyDescent="0.25">
      <c r="A1" s="85" t="s">
        <v>112</v>
      </c>
      <c r="B1" s="127" t="s">
        <v>174</v>
      </c>
      <c r="C1" s="50"/>
    </row>
    <row r="2" spans="1:21" ht="15.75" thickBot="1" x14ac:dyDescent="0.3">
      <c r="B2" s="49"/>
      <c r="C2" s="52"/>
      <c r="D2" s="48"/>
      <c r="Q2" s="51"/>
    </row>
    <row r="3" spans="1:21" ht="45.75" thickBot="1" x14ac:dyDescent="0.3">
      <c r="A3" s="11" t="s">
        <v>53</v>
      </c>
      <c r="B3" s="12" t="s">
        <v>60</v>
      </c>
      <c r="C3" s="12" t="s">
        <v>59</v>
      </c>
      <c r="D3" s="12" t="s">
        <v>61</v>
      </c>
      <c r="E3" s="12" t="s">
        <v>58</v>
      </c>
      <c r="F3" s="12" t="s">
        <v>62</v>
      </c>
      <c r="G3" s="12" t="s">
        <v>54</v>
      </c>
      <c r="H3" s="12"/>
      <c r="I3" s="12"/>
      <c r="J3" s="12" t="s">
        <v>55</v>
      </c>
      <c r="K3" s="12"/>
      <c r="L3" s="12"/>
      <c r="M3" s="12"/>
      <c r="N3" s="12" t="s">
        <v>57</v>
      </c>
      <c r="O3" s="12"/>
      <c r="P3" s="12"/>
      <c r="Q3" s="13" t="s">
        <v>56</v>
      </c>
    </row>
    <row r="4" spans="1:21" ht="15" x14ac:dyDescent="0.25">
      <c r="A4" s="154" t="s">
        <v>0</v>
      </c>
      <c r="B4" s="157">
        <v>0.33</v>
      </c>
      <c r="C4" s="165" t="s">
        <v>7</v>
      </c>
      <c r="D4" s="167">
        <v>0.1</v>
      </c>
      <c r="E4" s="7" t="s">
        <v>34</v>
      </c>
      <c r="F4" s="14">
        <v>7.0000000000000007E-2</v>
      </c>
      <c r="G4" s="15" t="str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"))/100/COUNTIFS('ליקויים מהמערכת'!$G:$G,$B$1,'ליקויים מהמערכת'!$C:$C,REPLACE(E4,1,0,"ליקוי ל: ")))</f>
        <v/>
      </c>
      <c r="H4" s="16">
        <f t="shared" ref="H4:H48" si="0">IF(G4="",F4,"")</f>
        <v>7.0000000000000007E-2</v>
      </c>
      <c r="I4" s="160">
        <f>SUM(H4:H5)</f>
        <v>0.1</v>
      </c>
      <c r="J4" s="17" t="str">
        <f>IFERROR(IF(G4="","",(F4+I$4/COUNTA(G$4:G$5))*G4),F4*G4)</f>
        <v/>
      </c>
      <c r="K4" s="162">
        <f>IF(COUNTBLANK(G4:G5)=COUNTA(F4:F5),D4,"")</f>
        <v>0.1</v>
      </c>
      <c r="L4" s="160">
        <f>IFERROR(SUM(K4:K11)/SUM(M4:M11),0)</f>
        <v>3.3333333333333333E-2</v>
      </c>
      <c r="M4" s="162" t="str">
        <f>IF(K4="",1,"")</f>
        <v/>
      </c>
      <c r="N4" s="174">
        <f>SUM(J4:J5)/D4*L$4+SUM(J4:J5)</f>
        <v>0</v>
      </c>
      <c r="O4" s="162">
        <f>IF(L4&gt;0,1,IF(SUM(M4:M11)=4,1,""))</f>
        <v>1</v>
      </c>
      <c r="P4" s="160" t="str">
        <f>IF(O4="",B4,"")</f>
        <v/>
      </c>
      <c r="Q4" s="177">
        <f>SUM(P4:P48)/SUM(O4:O48)*(SUM(N4:N11)/B4)+SUM(N4:N11)</f>
        <v>3.2306397306397304E-2</v>
      </c>
      <c r="U4">
        <f>COUNTIFS('ליקויים מהמערכת'!$G:$G,$B$1,'ליקויים מהמערכת'!$C:$C,REPLACE(E4,1,0,"ליקוי ל: "))</f>
        <v>0</v>
      </c>
    </row>
    <row r="5" spans="1:21" ht="30" x14ac:dyDescent="0.25">
      <c r="A5" s="155"/>
      <c r="B5" s="158"/>
      <c r="C5" s="166"/>
      <c r="D5" s="168"/>
      <c r="E5" s="4" t="s">
        <v>35</v>
      </c>
      <c r="F5" s="18">
        <v>0.03</v>
      </c>
      <c r="G5" s="19" t="str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"))/100/COUNTIFS('ליקויים מהמערכת'!$G:$G,$B$1,'ליקויים מהמערכת'!$C:$C,REPLACE(E5,1,0,"ליקוי ל: ")))</f>
        <v/>
      </c>
      <c r="H5" s="20">
        <f t="shared" si="0"/>
        <v>0.03</v>
      </c>
      <c r="I5" s="161"/>
      <c r="J5" s="21" t="str">
        <f>IFERROR(IF(G5="","",(F5+I$4/COUNT(G$4:G$5))*G5),F5*G5)</f>
        <v/>
      </c>
      <c r="K5" s="163"/>
      <c r="L5" s="161"/>
      <c r="M5" s="163"/>
      <c r="N5" s="175"/>
      <c r="O5" s="163"/>
      <c r="P5" s="161"/>
      <c r="Q5" s="178"/>
      <c r="U5">
        <f>COUNTIFS('ליקויים מהמערכת'!$G:$G,$B$1,'ליקויים מהמערכת'!$C:$C,REPLACE(E5,1,0,"ליקוי ל: "))</f>
        <v>0</v>
      </c>
    </row>
    <row r="6" spans="1:21" ht="15" x14ac:dyDescent="0.25">
      <c r="A6" s="155"/>
      <c r="B6" s="158"/>
      <c r="C6" s="169" t="s">
        <v>8</v>
      </c>
      <c r="D6" s="171">
        <v>0.09</v>
      </c>
      <c r="E6" s="4" t="s">
        <v>36</v>
      </c>
      <c r="F6" s="18">
        <v>0.05</v>
      </c>
      <c r="G6" s="19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"))/100/COUNTIFS('ליקויים מהמערכת'!$G:$G,$B$1,'ליקויים מהמערכת'!$C:$C,REPLACE(E6,1,0,"ליקוי ל: ")))</f>
        <v>0</v>
      </c>
      <c r="H6" s="20" t="str">
        <f t="shared" si="0"/>
        <v/>
      </c>
      <c r="I6" s="161">
        <f>SUM(H6:H7)</f>
        <v>0.04</v>
      </c>
      <c r="J6" s="21">
        <f>IFERROR(IF(G6="","",(F6+I$6/COUNT(G$6:G$7))*G6),F6*G6)</f>
        <v>0</v>
      </c>
      <c r="K6" s="163" t="str">
        <f>IF(COUNTBLANK(G6:G7)=COUNTA(F6:F7),D6,"")</f>
        <v/>
      </c>
      <c r="L6" s="161"/>
      <c r="M6" s="163">
        <f>IF(K6="",1,"")</f>
        <v>1</v>
      </c>
      <c r="N6" s="175">
        <f>SUM(J6:J7)/D6*L$4+SUM(J6:J7)</f>
        <v>0</v>
      </c>
      <c r="O6" s="163"/>
      <c r="P6" s="161"/>
      <c r="Q6" s="178"/>
      <c r="U6">
        <f>COUNTIFS('ליקויים מהמערכת'!$G:$G,$B$1,'ליקויים מהמערכת'!$C:$C,REPLACE(E6,1,0,"ליקוי ל: "))</f>
        <v>1</v>
      </c>
    </row>
    <row r="7" spans="1:21" ht="15" x14ac:dyDescent="0.25">
      <c r="A7" s="155"/>
      <c r="B7" s="158"/>
      <c r="C7" s="170"/>
      <c r="D7" s="172"/>
      <c r="E7" s="124" t="s">
        <v>123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"))/100/COUNTIFS('ליקויים מהמערכת'!$G:$G,$B$1,'ליקויים מהמערכת'!$C:$C,REPLACE(E7,1,0,"ליקוי ל: ")))</f>
        <v/>
      </c>
      <c r="H7" s="20">
        <f t="shared" si="0"/>
        <v>0.04</v>
      </c>
      <c r="I7" s="161"/>
      <c r="J7" s="21" t="str">
        <f>IFERROR(IF(G7="","",(F7+I$6/COUNT(G$6:G$7))*G7),F7*G7)</f>
        <v/>
      </c>
      <c r="K7" s="163"/>
      <c r="L7" s="161"/>
      <c r="M7" s="163"/>
      <c r="N7" s="175"/>
      <c r="O7" s="163"/>
      <c r="P7" s="161"/>
      <c r="Q7" s="178"/>
      <c r="U7">
        <f>COUNTIFS('ליקויים מהמערכת'!$G:$G,$B$1,'ליקויים מהמערכת'!$C:$C,REPLACE(E7,1,0,"ליקוי ל: "))</f>
        <v>0</v>
      </c>
    </row>
    <row r="8" spans="1:21" ht="15" x14ac:dyDescent="0.25">
      <c r="A8" s="155"/>
      <c r="B8" s="158"/>
      <c r="C8" s="166" t="s">
        <v>9</v>
      </c>
      <c r="D8" s="168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"))/100/COUNTIFS('ליקויים מהמערכת'!$G:$G,$B$1,'ליקויים מהמערכת'!$C:$C,REPLACE(E8,1,0,"ליקוי ל: ")))</f>
        <v>0.125</v>
      </c>
      <c r="H8" s="20" t="str">
        <f t="shared" si="0"/>
        <v/>
      </c>
      <c r="I8" s="161">
        <f>SUM(H8:H9)</f>
        <v>0</v>
      </c>
      <c r="J8" s="21">
        <f>IFERROR(IF(G8="","",(F8+I$8/COUNT(G$8:G$9))*G8),F8*G8)</f>
        <v>8.7500000000000008E-3</v>
      </c>
      <c r="K8" s="163" t="str">
        <f>IF(COUNTBLANK(G8:G9)=COUNTA(F8:F9),D8,"")</f>
        <v/>
      </c>
      <c r="L8" s="161"/>
      <c r="M8" s="163">
        <f>IF(K8="",1,"")</f>
        <v>1</v>
      </c>
      <c r="N8" s="175">
        <f>SUM(J8:J9)/D8*L$4+SUM(J8:J9)</f>
        <v>3.1666666666666662E-2</v>
      </c>
      <c r="O8" s="163"/>
      <c r="P8" s="161"/>
      <c r="Q8" s="178"/>
      <c r="U8">
        <f>COUNTIFS('ליקויים מהמערכת'!$G:$G,$B$1,'ליקויים מהמערכת'!$C:$C,REPLACE(E8,1,0,"ליקוי ל: "))</f>
        <v>2</v>
      </c>
    </row>
    <row r="9" spans="1:21" ht="30" x14ac:dyDescent="0.25">
      <c r="A9" s="155"/>
      <c r="B9" s="158"/>
      <c r="C9" s="166"/>
      <c r="D9" s="168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"))/100/COUNTIFS('ליקויים מהמערכת'!$G:$G,$B$1,'ליקויים מהמערכת'!$C:$C,REPLACE(E9,1,0,"ליקוי ל: ")))</f>
        <v>0.5</v>
      </c>
      <c r="H9" s="20" t="str">
        <f t="shared" si="0"/>
        <v/>
      </c>
      <c r="I9" s="161"/>
      <c r="J9" s="21">
        <f>IFERROR(IF(G9="","",(F9+I$8/COUNT(G$8:G$9))*G9),F9*G9)</f>
        <v>1.4999999999999999E-2</v>
      </c>
      <c r="K9" s="163"/>
      <c r="L9" s="161"/>
      <c r="M9" s="163"/>
      <c r="N9" s="175"/>
      <c r="O9" s="163"/>
      <c r="P9" s="161"/>
      <c r="Q9" s="178"/>
      <c r="U9">
        <f>COUNTIFS('ליקויים מהמערכת'!$G:$G,$B$1,'ליקויים מהמערכת'!$C:$C,REPLACE(E9,1,0,"ליקוי ל: "))</f>
        <v>2</v>
      </c>
    </row>
    <row r="10" spans="1:21" ht="15" x14ac:dyDescent="0.25">
      <c r="A10" s="155"/>
      <c r="B10" s="158"/>
      <c r="C10" s="166" t="s">
        <v>10</v>
      </c>
      <c r="D10" s="168">
        <v>0.04</v>
      </c>
      <c r="E10" s="4" t="s">
        <v>124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"))/100/COUNTIFS('ליקויים מהמערכת'!$G:$G,$B$1,'ליקויים מהמערכת'!$C:$C,REPLACE(E10,1,0,"ליקוי ל: ")))</f>
        <v/>
      </c>
      <c r="H10" s="20">
        <f t="shared" si="0"/>
        <v>0.02</v>
      </c>
      <c r="I10" s="161">
        <f>SUM(H10:H11)</f>
        <v>0.02</v>
      </c>
      <c r="J10" s="21" t="str">
        <f>IFERROR(IF(G10="","",(F10+I$10/COUNT(G$10:G$11))*G10),F10*G10)</f>
        <v/>
      </c>
      <c r="K10" s="161" t="str">
        <f>IF(COUNTBLANK(G10:G11)=COUNTA(F10:F11),D10,"")</f>
        <v/>
      </c>
      <c r="L10" s="161"/>
      <c r="M10" s="163">
        <f>IF(K10="",1,"")</f>
        <v>1</v>
      </c>
      <c r="N10" s="175">
        <f>SUM(J10:J11)/D10*L$4+SUM(J10:J11)</f>
        <v>0</v>
      </c>
      <c r="O10" s="163"/>
      <c r="P10" s="161"/>
      <c r="Q10" s="178"/>
      <c r="U10">
        <f>COUNTIFS('ליקויים מהמערכת'!$G:$G,$B$1,'ליקויים מהמערכת'!$C:$C,REPLACE(E10,1,0,"ליקוי ל: "))</f>
        <v>0</v>
      </c>
    </row>
    <row r="11" spans="1:21" ht="15.75" thickBot="1" x14ac:dyDescent="0.3">
      <c r="A11" s="156"/>
      <c r="B11" s="159"/>
      <c r="C11" s="173"/>
      <c r="D11" s="181"/>
      <c r="E11" s="8" t="s">
        <v>39</v>
      </c>
      <c r="F11" s="24">
        <v>0.02</v>
      </c>
      <c r="G11" s="25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"))/100/COUNTIFS('ליקויים מהמערכת'!$G:$G,$B$1,'ליקויים מהמערכת'!$C:$C,REPLACE(E11,1,0,"ליקוי ל: ")))</f>
        <v>0</v>
      </c>
      <c r="H11" s="26" t="str">
        <f t="shared" si="0"/>
        <v/>
      </c>
      <c r="I11" s="164"/>
      <c r="J11" s="27">
        <f>IFERROR(IF(G11="","",(F11+I$10/COUNT(G$10:G$11))*G11),F11*G11)</f>
        <v>0</v>
      </c>
      <c r="K11" s="164"/>
      <c r="L11" s="164"/>
      <c r="M11" s="176"/>
      <c r="N11" s="180"/>
      <c r="O11" s="176"/>
      <c r="P11" s="164"/>
      <c r="Q11" s="179"/>
      <c r="U11">
        <f>COUNTIFS('ליקויים מהמערכת'!$G:$G,$B$1,'ליקויים מהמערכת'!$C:$C,REPLACE(E11,1,0,"ליקוי ל: "))</f>
        <v>1</v>
      </c>
    </row>
    <row r="12" spans="1:21" ht="30" x14ac:dyDescent="0.25">
      <c r="A12" s="154" t="s">
        <v>1</v>
      </c>
      <c r="B12" s="157">
        <v>0.36</v>
      </c>
      <c r="C12" s="165" t="s">
        <v>11</v>
      </c>
      <c r="D12" s="167">
        <v>0.22</v>
      </c>
      <c r="E12" s="7" t="s">
        <v>40</v>
      </c>
      <c r="F12" s="14">
        <v>0.03</v>
      </c>
      <c r="G12" s="15" t="str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"))/100/COUNTIFS('ליקויים מהמערכת'!$G:$G,$B$1,'ליקויים מהמערכת'!$C:$C,REPLACE(E12,1,0,"ליקוי ל: ")))</f>
        <v/>
      </c>
      <c r="H12" s="16">
        <f t="shared" si="0"/>
        <v>0.03</v>
      </c>
      <c r="I12" s="160">
        <f>SUM(H12:H20)</f>
        <v>0.13</v>
      </c>
      <c r="J12" s="28" t="str">
        <f t="shared" ref="J12:J20" si="1">IFERROR(IF(G12="","",(F12+I$12/COUNT(G$12:G$20))*G12),F12*G12)</f>
        <v/>
      </c>
      <c r="K12" s="160" t="str">
        <f>IF(COUNTBLANK(G12:G20)=COUNTA(F12:F20),D12,"")</f>
        <v/>
      </c>
      <c r="L12" s="160">
        <f>IFERROR(SUM(K12:K29)/SUM(M12:M29),0)</f>
        <v>5.5E-2</v>
      </c>
      <c r="M12" s="162">
        <f>IF(K12="",1,"")</f>
        <v>1</v>
      </c>
      <c r="N12" s="174">
        <f>SUM(J12:J20)/D12*L12+SUM(J12:J20)</f>
        <v>7.1874999999999994E-2</v>
      </c>
      <c r="O12" s="184">
        <f>IF(L12&gt;0,1,IF(SUM(M12:M29)=6,1,""))</f>
        <v>1</v>
      </c>
      <c r="P12" s="160" t="str">
        <f>IF(O12="",B12,"")</f>
        <v/>
      </c>
      <c r="Q12" s="177">
        <f>SUM(P4:P48)/SUM(O4:O48)*(SUM(N12:N29)/B12)+SUM(N12:N29)</f>
        <v>0.13092206790123456</v>
      </c>
      <c r="U12">
        <f>COUNTIFS('ליקויים מהמערכת'!$G:$G,$B$1,'ליקויים מהמערכת'!$C:$C,REPLACE(E12,1,0,"ליקוי ל: "))</f>
        <v>0</v>
      </c>
    </row>
    <row r="13" spans="1:21" ht="15" x14ac:dyDescent="0.25">
      <c r="A13" s="155"/>
      <c r="B13" s="158"/>
      <c r="C13" s="166"/>
      <c r="D13" s="168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"))/100/COUNTIFS('ליקויים מהמערכת'!$G:$G,$B$1,'ליקויים מהמערכת'!$C:$C,REPLACE(E13,1,0,"ליקוי ל: ")))</f>
        <v/>
      </c>
      <c r="H13" s="20">
        <f t="shared" si="0"/>
        <v>0.03</v>
      </c>
      <c r="I13" s="161"/>
      <c r="J13" s="29" t="str">
        <f t="shared" si="1"/>
        <v/>
      </c>
      <c r="K13" s="161"/>
      <c r="L13" s="161"/>
      <c r="M13" s="163"/>
      <c r="N13" s="175"/>
      <c r="O13" s="185"/>
      <c r="P13" s="161"/>
      <c r="Q13" s="178"/>
      <c r="U13">
        <f>COUNTIFS('ליקויים מהמערכת'!$G:$G,$B$1,'ליקויים מהמערכת'!$C:$C,REPLACE(E13,1,0,"ליקוי ל: "))</f>
        <v>0</v>
      </c>
    </row>
    <row r="14" spans="1:21" ht="30" x14ac:dyDescent="0.25">
      <c r="A14" s="155"/>
      <c r="B14" s="158"/>
      <c r="C14" s="166"/>
      <c r="D14" s="168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"))/100/COUNTIFS('ליקויים מהמערכת'!$G:$G,$B$1,'ליקויים מהמערכת'!$C:$C,REPLACE(E14,1,0,"ליקוי ל: ")))</f>
        <v/>
      </c>
      <c r="H14" s="20">
        <f t="shared" si="0"/>
        <v>0.03</v>
      </c>
      <c r="I14" s="161"/>
      <c r="J14" s="29" t="str">
        <f t="shared" si="1"/>
        <v/>
      </c>
      <c r="K14" s="161"/>
      <c r="L14" s="161"/>
      <c r="M14" s="163"/>
      <c r="N14" s="175"/>
      <c r="O14" s="185"/>
      <c r="P14" s="161"/>
      <c r="Q14" s="178"/>
      <c r="U14">
        <f>COUNTIFS('ליקויים מהמערכת'!$G:$G,$B$1,'ליקויים מהמערכת'!$C:$C,REPLACE(E14,1,0,"ליקוי ל: "))</f>
        <v>0</v>
      </c>
    </row>
    <row r="15" spans="1:21" ht="15" x14ac:dyDescent="0.25">
      <c r="A15" s="155"/>
      <c r="B15" s="158"/>
      <c r="C15" s="166"/>
      <c r="D15" s="168"/>
      <c r="E15" s="5" t="s">
        <v>45</v>
      </c>
      <c r="F15" s="22">
        <v>0.03</v>
      </c>
      <c r="G15" s="23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"))/100/COUNTIFS('ליקויים מהמערכת'!$G:$G,$B$1,'ליקויים מהמערכת'!$C:$C,REPLACE(E15,1,0,"ליקוי ל: ")))</f>
        <v>0.5</v>
      </c>
      <c r="H15" s="20" t="str">
        <f t="shared" si="0"/>
        <v/>
      </c>
      <c r="I15" s="161"/>
      <c r="J15" s="29">
        <f t="shared" si="1"/>
        <v>3.125E-2</v>
      </c>
      <c r="K15" s="161"/>
      <c r="L15" s="161"/>
      <c r="M15" s="163"/>
      <c r="N15" s="175"/>
      <c r="O15" s="185"/>
      <c r="P15" s="161"/>
      <c r="Q15" s="178"/>
      <c r="U15">
        <f>COUNTIFS('ליקויים מהמערכת'!$G:$G,$B$1,'ליקויים מהמערכת'!$C:$C,REPLACE(E15,1,0,"ליקוי ל: "))</f>
        <v>1</v>
      </c>
    </row>
    <row r="16" spans="1:21" ht="15" x14ac:dyDescent="0.25">
      <c r="A16" s="155"/>
      <c r="B16" s="158"/>
      <c r="C16" s="166"/>
      <c r="D16" s="168"/>
      <c r="E16" s="4" t="s">
        <v>150</v>
      </c>
      <c r="F16" s="22">
        <v>0.02</v>
      </c>
      <c r="G16" s="23">
        <v>0</v>
      </c>
      <c r="H16" s="20" t="str">
        <f t="shared" si="0"/>
        <v/>
      </c>
      <c r="I16" s="161"/>
      <c r="J16" s="29">
        <f t="shared" si="1"/>
        <v>0</v>
      </c>
      <c r="K16" s="161"/>
      <c r="L16" s="161"/>
      <c r="M16" s="163"/>
      <c r="N16" s="175"/>
      <c r="O16" s="185"/>
      <c r="P16" s="161"/>
      <c r="Q16" s="178"/>
      <c r="U16">
        <v>2</v>
      </c>
    </row>
    <row r="17" spans="1:21" ht="30" x14ac:dyDescent="0.25">
      <c r="A17" s="155"/>
      <c r="B17" s="158"/>
      <c r="C17" s="166"/>
      <c r="D17" s="168"/>
      <c r="E17" s="5" t="s">
        <v>46</v>
      </c>
      <c r="F17" s="22">
        <v>0.02</v>
      </c>
      <c r="G17" s="23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"))/100/COUNTIFS('ליקויים מהמערכת'!$G:$G,$B$1,'ליקויים מהמערכת'!$C:$C,REPLACE(E17,1,0,"ליקוי ל: ")))</f>
        <v>0</v>
      </c>
      <c r="H17" s="20" t="str">
        <f t="shared" si="0"/>
        <v/>
      </c>
      <c r="I17" s="161"/>
      <c r="J17" s="29">
        <f t="shared" si="1"/>
        <v>0</v>
      </c>
      <c r="K17" s="161"/>
      <c r="L17" s="161"/>
      <c r="M17" s="163"/>
      <c r="N17" s="175"/>
      <c r="O17" s="185"/>
      <c r="P17" s="161"/>
      <c r="Q17" s="178"/>
      <c r="U17">
        <f>COUNTIFS('ליקויים מהמערכת'!$G:$G,$B$1,'ליקויים מהמערכת'!$C:$C,REPLACE(E17,1,0,"ליקוי ל: "))</f>
        <v>1</v>
      </c>
    </row>
    <row r="18" spans="1:21" ht="15" x14ac:dyDescent="0.25">
      <c r="A18" s="155"/>
      <c r="B18" s="158"/>
      <c r="C18" s="166"/>
      <c r="D18" s="168"/>
      <c r="E18" s="5" t="s">
        <v>47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"))/100/COUNTIFS('ליקויים מהמערכת'!$G:$G,$B$1,'ליקויים מהמערכת'!$C:$C,REPLACE(E18,1,0,"ליקוי ל: ")))</f>
        <v/>
      </c>
      <c r="H18" s="20">
        <f t="shared" si="0"/>
        <v>0.02</v>
      </c>
      <c r="I18" s="161"/>
      <c r="J18" s="29" t="str">
        <f t="shared" si="1"/>
        <v/>
      </c>
      <c r="K18" s="161"/>
      <c r="L18" s="161"/>
      <c r="M18" s="163"/>
      <c r="N18" s="175"/>
      <c r="O18" s="185"/>
      <c r="P18" s="161"/>
      <c r="Q18" s="178"/>
      <c r="U18">
        <f>COUNTIFS('ליקויים מהמערכת'!$G:$G,$B$1,'ליקויים מהמערכת'!$C:$C,REPLACE(E18,1,0,"ליקוי ל: "))</f>
        <v>0</v>
      </c>
    </row>
    <row r="19" spans="1:21" ht="15" x14ac:dyDescent="0.25">
      <c r="A19" s="155"/>
      <c r="B19" s="158"/>
      <c r="C19" s="166"/>
      <c r="D19" s="168"/>
      <c r="E19" s="5" t="s">
        <v>48</v>
      </c>
      <c r="F19" s="22">
        <v>0.02</v>
      </c>
      <c r="G19" s="23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"))/100/COUNTIFS('ליקויים מהמערכת'!$G:$G,$B$1,'ליקויים מהמערכת'!$C:$C,REPLACE(E19,1,0,"ליקוי ל: ")))</f>
        <v>0.5</v>
      </c>
      <c r="H19" s="20" t="str">
        <f t="shared" si="0"/>
        <v/>
      </c>
      <c r="I19" s="161"/>
      <c r="J19" s="29">
        <f t="shared" si="1"/>
        <v>2.6250000000000002E-2</v>
      </c>
      <c r="K19" s="161"/>
      <c r="L19" s="161"/>
      <c r="M19" s="163"/>
      <c r="N19" s="175"/>
      <c r="O19" s="185"/>
      <c r="P19" s="161"/>
      <c r="Q19" s="178"/>
      <c r="U19">
        <f>COUNTIFS('ליקויים מהמערכת'!$G:$G,$B$1,'ליקויים מהמערכת'!$C:$C,REPLACE(E19,1,0,"ליקוי ל: "))</f>
        <v>1</v>
      </c>
    </row>
    <row r="20" spans="1:21" ht="30" x14ac:dyDescent="0.25">
      <c r="A20" s="155"/>
      <c r="B20" s="158"/>
      <c r="C20" s="166"/>
      <c r="D20" s="168"/>
      <c r="E20" s="4" t="s">
        <v>125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"))/100/COUNTIFS('ליקויים מהמערכת'!$G:$G,$B$1,'ליקויים מהמערכת'!$C:$C,REPLACE(E20,1,0,"ליקוי ל: ")))</f>
        <v/>
      </c>
      <c r="H20" s="20">
        <f t="shared" si="0"/>
        <v>0.02</v>
      </c>
      <c r="I20" s="161"/>
      <c r="J20" s="29" t="str">
        <f t="shared" si="1"/>
        <v/>
      </c>
      <c r="K20" s="161"/>
      <c r="L20" s="161"/>
      <c r="M20" s="163"/>
      <c r="N20" s="175"/>
      <c r="O20" s="185"/>
      <c r="P20" s="161"/>
      <c r="Q20" s="178"/>
      <c r="U20">
        <f>COUNTIFS('ליקויים מהמערכת'!$G:$G,$B$1,'ליקויים מהמערכת'!$C:$C,REPLACE(E20,1,0,"ליקוי ל: "))</f>
        <v>0</v>
      </c>
    </row>
    <row r="21" spans="1:21" ht="15" x14ac:dyDescent="0.25">
      <c r="A21" s="155"/>
      <c r="B21" s="158"/>
      <c r="C21" s="166" t="s">
        <v>12</v>
      </c>
      <c r="D21" s="168">
        <v>0.04</v>
      </c>
      <c r="E21" s="4" t="s">
        <v>169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"))/100/COUNTIFS('ליקויים מהמערכת'!$G:$G,$B$1,'ליקויים מהמערכת'!$C:$C,REPLACE(E21,1,0,"ליקוי ל: ")))</f>
        <v/>
      </c>
      <c r="H21" s="20">
        <f t="shared" si="0"/>
        <v>0.02</v>
      </c>
      <c r="I21" s="161">
        <f>SUM(H21:H22)</f>
        <v>0.04</v>
      </c>
      <c r="J21" s="29" t="str">
        <f>IFERROR(IF(G21="","",(F21+I$21/COUNT(G$21:G$22))*G21),F21*G21)</f>
        <v/>
      </c>
      <c r="K21" s="161">
        <f>IF(COUNTBLANK(G21:G22)=COUNTA(F21:F22),D21,"")</f>
        <v>0.04</v>
      </c>
      <c r="L21" s="161"/>
      <c r="M21" s="163" t="str">
        <f>IF(K21="",1,"")</f>
        <v/>
      </c>
      <c r="N21" s="175">
        <f>SUM(J21:J22)/D21*L12+SUM(J21:J22)</f>
        <v>0</v>
      </c>
      <c r="O21" s="185"/>
      <c r="P21" s="161"/>
      <c r="Q21" s="178"/>
      <c r="U21">
        <f>COUNTIFS('ליקויים מהמערכת'!$G:$G,$B$1,'ליקויים מהמערכת'!$C:$C,REPLACE(E21,1,0,"ליקוי ל: "))</f>
        <v>0</v>
      </c>
    </row>
    <row r="22" spans="1:21" ht="15" x14ac:dyDescent="0.25">
      <c r="A22" s="155"/>
      <c r="B22" s="158"/>
      <c r="C22" s="166"/>
      <c r="D22" s="168"/>
      <c r="E22" s="4" t="s">
        <v>126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"))/100/COUNTIFS('ליקויים מהמערכת'!$G:$G,$B$1,'ליקויים מהמערכת'!$C:$C,REPLACE(E22,1,0,"ליקוי ל: ")))</f>
        <v/>
      </c>
      <c r="H22" s="20">
        <f t="shared" si="0"/>
        <v>0.02</v>
      </c>
      <c r="I22" s="161"/>
      <c r="J22" s="29" t="str">
        <f>IFERROR(IF(G22="","",(F22+I$21/COUNT(G$21:G$22))*G22),F22*G22)</f>
        <v/>
      </c>
      <c r="K22" s="161"/>
      <c r="L22" s="161"/>
      <c r="M22" s="163"/>
      <c r="N22" s="175"/>
      <c r="O22" s="185"/>
      <c r="P22" s="161"/>
      <c r="Q22" s="178"/>
      <c r="U22">
        <f>COUNTIFS('ליקויים מהמערכת'!$G:$G,$B$1,'ליקויים מהמערכת'!$C:$C,REPLACE(E22,1,0,"ליקוי ל: "))</f>
        <v>0</v>
      </c>
    </row>
    <row r="23" spans="1:21" ht="30" x14ac:dyDescent="0.25">
      <c r="A23" s="155"/>
      <c r="B23" s="158"/>
      <c r="C23" s="6" t="s">
        <v>13</v>
      </c>
      <c r="D23" s="53">
        <v>0.02</v>
      </c>
      <c r="E23" s="4" t="s">
        <v>43</v>
      </c>
      <c r="F23" s="18">
        <v>0.02</v>
      </c>
      <c r="G23" s="23" t="str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"))/100/COUNTIFS('ליקויים מהמערכת'!$G:$G,$B$1,'ליקויים מהמערכת'!$C:$C,REPLACE(E23,1,0,"ליקוי ל: ")))</f>
        <v/>
      </c>
      <c r="H23" s="20">
        <f t="shared" si="0"/>
        <v>0.02</v>
      </c>
      <c r="I23" s="20">
        <f>H23</f>
        <v>0.02</v>
      </c>
      <c r="J23" s="29" t="str">
        <f>IF(G23="","",F23*G23)</f>
        <v/>
      </c>
      <c r="K23" s="20">
        <f>H23</f>
        <v>0.02</v>
      </c>
      <c r="L23" s="161"/>
      <c r="M23" s="30" t="str">
        <f>IF(K23="",1,"")</f>
        <v/>
      </c>
      <c r="N23" s="29">
        <f>SUM(J23)/D23*L12+SUM(J23)</f>
        <v>0</v>
      </c>
      <c r="O23" s="185"/>
      <c r="P23" s="161"/>
      <c r="Q23" s="178"/>
      <c r="U23">
        <f>COUNTIFS('ליקויים מהמערכת'!$G:$G,$B$1,'ליקויים מהמערכת'!$C:$C,REPLACE(E23,1,0,"ליקוי ל: "))</f>
        <v>0</v>
      </c>
    </row>
    <row r="24" spans="1:21" ht="15" x14ac:dyDescent="0.25">
      <c r="A24" s="155"/>
      <c r="B24" s="158"/>
      <c r="C24" s="6" t="s">
        <v>14</v>
      </c>
      <c r="D24" s="53">
        <v>0.02</v>
      </c>
      <c r="E24" s="4" t="s">
        <v>127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"))/100/COUNTIFS('ליקויים מהמערכת'!$G:$G,$B$1,'ליקויים מהמערכת'!$C:$C,REPLACE(E24,1,0,"ליקוי ל: ")))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61"/>
      <c r="M24" s="30" t="str">
        <f>IF(K24="",1,"")</f>
        <v/>
      </c>
      <c r="N24" s="29">
        <f>SUM(J24)/D24*L12+SUM(J24)</f>
        <v>0</v>
      </c>
      <c r="O24" s="185"/>
      <c r="P24" s="161"/>
      <c r="Q24" s="178"/>
      <c r="U24">
        <f>COUNTIFS('ליקויים מהמערכת'!$G:$G,$B$1,'ליקויים מהמערכת'!$C:$C,REPLACE(E24,1,0,"ליקוי ל: "))</f>
        <v>0</v>
      </c>
    </row>
    <row r="25" spans="1:21" ht="15" x14ac:dyDescent="0.25">
      <c r="A25" s="155"/>
      <c r="B25" s="158"/>
      <c r="C25" s="166" t="s">
        <v>15</v>
      </c>
      <c r="D25" s="168">
        <v>0.03</v>
      </c>
      <c r="E25" s="5" t="s">
        <v>128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"))/100/COUNTIFS('ליקויים מהמערכת'!$G:$G,$B$1,'ליקויים מהמערכת'!$C:$C,REPLACE(E25,1,0,"ליקוי ל: ")))</f>
        <v/>
      </c>
      <c r="H25" s="20">
        <f t="shared" si="0"/>
        <v>0.02</v>
      </c>
      <c r="I25" s="161">
        <f>SUM(H25:H26)</f>
        <v>0.03</v>
      </c>
      <c r="J25" s="29" t="str">
        <f>IFERROR(IF(G25="","",(F25+I$25/COUNT(G$25:G$26))*G25),F25*G25)</f>
        <v/>
      </c>
      <c r="K25" s="161">
        <f>IF(COUNTBLANK(G25:G26)=COUNTA(F25:F26),D25,"")</f>
        <v>0.03</v>
      </c>
      <c r="L25" s="161"/>
      <c r="M25" s="163" t="str">
        <f>IF(K25="",1,"")</f>
        <v/>
      </c>
      <c r="N25" s="175">
        <f>SUM(J25:J26)/D25*L12+SUM(J25:J26)</f>
        <v>0</v>
      </c>
      <c r="O25" s="185"/>
      <c r="P25" s="161"/>
      <c r="Q25" s="178"/>
      <c r="U25">
        <f>COUNTIFS('ליקויים מהמערכת'!$G:$G,$B$1,'ליקויים מהמערכת'!$C:$C,REPLACE(E25,1,0,"ליקוי ל: "))</f>
        <v>0</v>
      </c>
    </row>
    <row r="26" spans="1:21" ht="15" x14ac:dyDescent="0.25">
      <c r="A26" s="155"/>
      <c r="B26" s="158"/>
      <c r="C26" s="166"/>
      <c r="D26" s="168"/>
      <c r="E26" s="5" t="s">
        <v>49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"))/100/COUNTIFS('ליקויים מהמערכת'!$G:$G,$B$1,'ליקויים מהמערכת'!$C:$C,REPLACE(E26,1,0,"ליקוי ל: ")))</f>
        <v/>
      </c>
      <c r="H26" s="20">
        <f t="shared" si="0"/>
        <v>0.01</v>
      </c>
      <c r="I26" s="161"/>
      <c r="J26" s="29" t="str">
        <f>IFERROR(IF(G26="","",(F26+I$25/COUNT(G$25:G$26))*G26),F26*G26)</f>
        <v/>
      </c>
      <c r="K26" s="161"/>
      <c r="L26" s="161"/>
      <c r="M26" s="163"/>
      <c r="N26" s="175"/>
      <c r="O26" s="185"/>
      <c r="P26" s="161"/>
      <c r="Q26" s="178"/>
      <c r="U26">
        <f>COUNTIFS('ליקויים מהמערכת'!$G:$G,$B$1,'ליקויים מהמערכת'!$C:$C,REPLACE(E26,1,0,"ליקוי ל: "))</f>
        <v>0</v>
      </c>
    </row>
    <row r="27" spans="1:21" ht="15" x14ac:dyDescent="0.25">
      <c r="A27" s="155"/>
      <c r="B27" s="158"/>
      <c r="C27" s="182" t="s">
        <v>16</v>
      </c>
      <c r="D27" s="158">
        <v>0.03</v>
      </c>
      <c r="E27" s="4" t="s">
        <v>152</v>
      </c>
      <c r="F27" s="22">
        <v>0.01</v>
      </c>
      <c r="G27" s="23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"))/100/COUNTIFS('ליקויים מהמערכת'!$G:$G,$B$1,'ליקויים מהמערכת'!$C:$C,REPLACE(E27,1,0,"ליקוי ל: ")))</f>
        <v>1</v>
      </c>
      <c r="H27" s="20" t="str">
        <f t="shared" si="0"/>
        <v/>
      </c>
      <c r="I27" s="161">
        <f>SUM(H27:H29)</f>
        <v>0</v>
      </c>
      <c r="J27" s="29">
        <f>IFERROR(IF(G27="","",(F27+I$27/COUNT(G$27:G$29))*G27),F27*G27)</f>
        <v>0.01</v>
      </c>
      <c r="K27" s="161" t="str">
        <f>IF(COUNTBLANK(G27:G29)=COUNTA(F27:F29),D27,"")</f>
        <v/>
      </c>
      <c r="L27" s="161"/>
      <c r="M27" s="163">
        <f>IF(K27="",1,"")</f>
        <v>1</v>
      </c>
      <c r="N27" s="175">
        <f>SUM(J27:J29)/D27*L12+SUM(J27:J29)</f>
        <v>5.6666666666666671E-2</v>
      </c>
      <c r="O27" s="185"/>
      <c r="P27" s="161"/>
      <c r="Q27" s="178"/>
      <c r="U27">
        <f>COUNTIFS('ליקויים מהמערכת'!$G:$G,$B$1,'ליקויים מהמערכת'!$C:$C,REPLACE(E27,1,0,"ליקוי ל: "))</f>
        <v>1</v>
      </c>
    </row>
    <row r="28" spans="1:21" ht="15" x14ac:dyDescent="0.25">
      <c r="A28" s="155"/>
      <c r="B28" s="158"/>
      <c r="C28" s="182"/>
      <c r="D28" s="158"/>
      <c r="E28" s="4" t="s">
        <v>151</v>
      </c>
      <c r="F28" s="22">
        <v>0.01</v>
      </c>
      <c r="G28" s="23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"))/100/COUNTIFS('ליקויים מהמערכת'!$G:$G,$B$1,'ליקויים מהמערכת'!$C:$C,REPLACE(E28,1,0,"ליקוי ל: ")))</f>
        <v>1</v>
      </c>
      <c r="H28" s="20" t="str">
        <f t="shared" si="0"/>
        <v/>
      </c>
      <c r="I28" s="161"/>
      <c r="J28" s="29">
        <f>IFERROR(IF(G28="","",(F28+I$27/COUNT(G$27:G$29))*G28),F28*G28)</f>
        <v>0.01</v>
      </c>
      <c r="K28" s="161"/>
      <c r="L28" s="161"/>
      <c r="M28" s="163"/>
      <c r="N28" s="175"/>
      <c r="O28" s="185"/>
      <c r="P28" s="161"/>
      <c r="Q28" s="178"/>
      <c r="U28">
        <f>COUNTIFS('ליקויים מהמערכת'!$G:$G,$B$1,'ליקויים מהמערכת'!$C:$C,REPLACE(E28,1,0,"ליקוי ל: "))</f>
        <v>1</v>
      </c>
    </row>
    <row r="29" spans="1:21" ht="15.75" thickBot="1" x14ac:dyDescent="0.3">
      <c r="A29" s="156"/>
      <c r="B29" s="159"/>
      <c r="C29" s="183"/>
      <c r="D29" s="159"/>
      <c r="E29" s="8" t="s">
        <v>129</v>
      </c>
      <c r="F29" s="24">
        <v>0.01</v>
      </c>
      <c r="G29" s="31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"))/100/COUNTIFS('ליקויים מהמערכת'!$G:$G,$B$1,'ליקויים מהמערכת'!$C:$C,REPLACE(E29,1,0,"ליקוי ל: ")))</f>
        <v>0</v>
      </c>
      <c r="H29" s="26" t="str">
        <f t="shared" si="0"/>
        <v/>
      </c>
      <c r="I29" s="164"/>
      <c r="J29" s="32">
        <f>IFERROR(IF(G29="","",(F29+I$27/COUNT(G$27:G$29))*G29),F29*G29)</f>
        <v>0</v>
      </c>
      <c r="K29" s="164"/>
      <c r="L29" s="164"/>
      <c r="M29" s="176"/>
      <c r="N29" s="180"/>
      <c r="O29" s="186"/>
      <c r="P29" s="164"/>
      <c r="Q29" s="179"/>
      <c r="U29">
        <f>COUNTIFS('ליקויים מהמערכת'!$G:$G,$B$1,'ליקויים מהמערכת'!$C:$C,REPLACE(E29,1,0,"ליקוי ל: "))</f>
        <v>1</v>
      </c>
    </row>
    <row r="30" spans="1:21" ht="30" x14ac:dyDescent="0.25">
      <c r="A30" s="154" t="s">
        <v>2</v>
      </c>
      <c r="B30" s="157">
        <v>0.08</v>
      </c>
      <c r="C30" s="42" t="s">
        <v>17</v>
      </c>
      <c r="D30" s="54">
        <v>0.02</v>
      </c>
      <c r="E30" s="7" t="s">
        <v>130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"))/100/COUNTIFS('ליקויים מהמערכת'!$G:$G,$B$1,'ליקויים מהמערכת'!$C:$C,REPLACE(E30,1,0,"ליקוי ל: ")))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60">
        <f>IFERROR(SUM(K30:K33)/SUM(M30:M33),0)</f>
        <v>6.6666666666666671E-3</v>
      </c>
      <c r="M30" s="35" t="str">
        <f t="shared" ref="M30:M48" si="5">IF(K30="",1,"")</f>
        <v/>
      </c>
      <c r="N30" s="28">
        <f>SUM(J30)/D30*L30+SUM(J30)</f>
        <v>0</v>
      </c>
      <c r="O30" s="162">
        <f>IF(L30&gt;0,1,IF(SUM(M30:M33)=4,1,""))</f>
        <v>1</v>
      </c>
      <c r="P30" s="162" t="str">
        <f>IF(O30="",B30,"")</f>
        <v/>
      </c>
      <c r="Q30" s="177">
        <f>SUM(P4:P48)/SUM(O4:O48)*(SUM(N30:N33)/B30)+SUM(N30:N33)</f>
        <v>7.2222222222222228E-3</v>
      </c>
      <c r="U30">
        <f>COUNTIFS('ליקויים מהמערכת'!$G:$G,$B$1,'ליקויים מהמערכת'!$C:$C,REPLACE(E30,1,0,"ליקוי ל: "))</f>
        <v>0</v>
      </c>
    </row>
    <row r="31" spans="1:21" ht="30" x14ac:dyDescent="0.25">
      <c r="A31" s="155"/>
      <c r="B31" s="158"/>
      <c r="C31" s="43" t="s">
        <v>18</v>
      </c>
      <c r="D31" s="55">
        <v>0.02</v>
      </c>
      <c r="E31" s="4" t="s">
        <v>131</v>
      </c>
      <c r="F31" s="22">
        <v>0.02</v>
      </c>
      <c r="G31" s="23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"))/100/COUNTIFS('ליקויים מהמערכת'!$G:$G,$B$1,'ליקויים מהמערכת'!$C:$C,REPLACE(E31,1,0,"ליקוי ל: ")))</f>
        <v>0</v>
      </c>
      <c r="H31" s="20" t="str">
        <f t="shared" si="0"/>
        <v/>
      </c>
      <c r="I31" s="20" t="str">
        <f t="shared" si="2"/>
        <v/>
      </c>
      <c r="J31" s="29">
        <f t="shared" si="3"/>
        <v>0</v>
      </c>
      <c r="K31" s="20" t="str">
        <f t="shared" si="4"/>
        <v/>
      </c>
      <c r="L31" s="161"/>
      <c r="M31" s="30">
        <f t="shared" si="5"/>
        <v>1</v>
      </c>
      <c r="N31" s="29">
        <f>SUM(J31)/D31*L30+SUM(J31)</f>
        <v>0</v>
      </c>
      <c r="O31" s="163"/>
      <c r="P31" s="163"/>
      <c r="Q31" s="178"/>
      <c r="U31">
        <f>COUNTIFS('ליקויים מהמערכת'!$G:$G,$B$1,'ליקויים מהמערכת'!$C:$C,REPLACE(E31,1,0,"ליקוי ל: "))</f>
        <v>1</v>
      </c>
    </row>
    <row r="32" spans="1:21" ht="30" x14ac:dyDescent="0.25">
      <c r="A32" s="155"/>
      <c r="B32" s="158"/>
      <c r="C32" s="43" t="s">
        <v>19</v>
      </c>
      <c r="D32" s="55">
        <v>0.02</v>
      </c>
      <c r="E32" s="5" t="s">
        <v>50</v>
      </c>
      <c r="F32" s="22">
        <v>0.02</v>
      </c>
      <c r="G32" s="23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"))/100/COUNTIFS('ליקויים מהמערכת'!$G:$G,$B$1,'ליקויים מהמערכת'!$C:$C,REPLACE(E32,1,0,"ליקוי ל: ")))</f>
        <v>0.25</v>
      </c>
      <c r="H32" s="20" t="str">
        <f t="shared" si="0"/>
        <v/>
      </c>
      <c r="I32" s="20" t="str">
        <f t="shared" si="2"/>
        <v/>
      </c>
      <c r="J32" s="21">
        <f t="shared" si="3"/>
        <v>5.0000000000000001E-3</v>
      </c>
      <c r="K32" s="20" t="str">
        <f t="shared" si="4"/>
        <v/>
      </c>
      <c r="L32" s="161"/>
      <c r="M32" s="30">
        <f t="shared" si="5"/>
        <v>1</v>
      </c>
      <c r="N32" s="21">
        <f>SUM(J32)/D32*L30+SUM(J32)</f>
        <v>6.6666666666666671E-3</v>
      </c>
      <c r="O32" s="163"/>
      <c r="P32" s="163"/>
      <c r="Q32" s="178"/>
      <c r="U32">
        <f>COUNTIFS('ליקויים מהמערכת'!$G:$G,$B$1,'ליקויים מהמערכת'!$C:$C,REPLACE(E32,1,0,"ליקוי ל: "))</f>
        <v>2</v>
      </c>
    </row>
    <row r="33" spans="1:21" ht="15.75" thickBot="1" x14ac:dyDescent="0.3">
      <c r="A33" s="156"/>
      <c r="B33" s="159"/>
      <c r="C33" s="44" t="s">
        <v>20</v>
      </c>
      <c r="D33" s="56">
        <v>0.02</v>
      </c>
      <c r="E33" s="8" t="s">
        <v>132</v>
      </c>
      <c r="F33" s="36">
        <v>0.02</v>
      </c>
      <c r="G33" s="31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"))/100/COUNTIFS('ליקויים מהמערכת'!$G:$G,$B$1,'ליקויים מהמערכת'!$C:$C,REPLACE(E33,1,0,"ליקוי ל: ")))</f>
        <v>0</v>
      </c>
      <c r="H33" s="26" t="str">
        <f t="shared" si="0"/>
        <v/>
      </c>
      <c r="I33" s="26" t="str">
        <f t="shared" si="2"/>
        <v/>
      </c>
      <c r="J33" s="32">
        <f t="shared" si="3"/>
        <v>0</v>
      </c>
      <c r="K33" s="26" t="str">
        <f t="shared" si="4"/>
        <v/>
      </c>
      <c r="L33" s="164"/>
      <c r="M33" s="37">
        <f t="shared" si="5"/>
        <v>1</v>
      </c>
      <c r="N33" s="32">
        <f>SUM(J33)/D33*L30+SUM(J33)</f>
        <v>0</v>
      </c>
      <c r="O33" s="176"/>
      <c r="P33" s="176"/>
      <c r="Q33" s="179"/>
      <c r="U33">
        <f>COUNTIFS('ליקויים מהמערכת'!$G:$G,$B$1,'ליקויים מהמערכת'!$C:$C,REPLACE(E33,1,0,"ליקוי ל: "))</f>
        <v>1</v>
      </c>
    </row>
    <row r="34" spans="1:21" ht="30" x14ac:dyDescent="0.25">
      <c r="A34" s="154" t="s">
        <v>3</v>
      </c>
      <c r="B34" s="157">
        <v>7.0000000000000007E-2</v>
      </c>
      <c r="C34" s="42" t="s">
        <v>21</v>
      </c>
      <c r="D34" s="54">
        <v>0.02</v>
      </c>
      <c r="E34" s="7" t="s">
        <v>133</v>
      </c>
      <c r="F34" s="33">
        <v>0.02</v>
      </c>
      <c r="G34" s="34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"))/100/COUNTIFS('ליקויים מהמערכת'!$G:$G,$B$1,'ליקויים מהמערכת'!$C:$C,REPLACE(E34,1,0,"ליקוי ל: ")))</f>
        <v>0</v>
      </c>
      <c r="H34" s="16" t="str">
        <f t="shared" si="0"/>
        <v/>
      </c>
      <c r="I34" s="16" t="str">
        <f t="shared" si="2"/>
        <v/>
      </c>
      <c r="J34" s="28">
        <f t="shared" si="3"/>
        <v>0</v>
      </c>
      <c r="K34" s="16" t="str">
        <f t="shared" si="4"/>
        <v/>
      </c>
      <c r="L34" s="160">
        <f>IFERROR(SUM(K34:K38)/SUM(M34:M38),0)</f>
        <v>2.5000000000000001E-3</v>
      </c>
      <c r="M34" s="35">
        <f t="shared" si="5"/>
        <v>1</v>
      </c>
      <c r="N34" s="28">
        <f>SUM(J34)/D34*L34+SUM(J34)</f>
        <v>0</v>
      </c>
      <c r="O34" s="162">
        <f>IF(L34&gt;0,1,IF(SUM(M34:M38)=5,1,""))</f>
        <v>1</v>
      </c>
      <c r="P34" s="162" t="str">
        <f>IF(O34="",B34,"")</f>
        <v/>
      </c>
      <c r="Q34" s="177">
        <f>SUM(P4:P48)/SUM(O4:O48)*(SUM(N34:N38)/B34)+SUM(N34:N38)</f>
        <v>5.2023809523809528E-2</v>
      </c>
      <c r="U34">
        <f>COUNTIFS('ליקויים מהמערכת'!$G:$G,$B$1,'ליקויים מהמערכת'!$C:$C,REPLACE(E34,1,0,"ליקוי ל: "))</f>
        <v>1</v>
      </c>
    </row>
    <row r="35" spans="1:21" ht="30" x14ac:dyDescent="0.25">
      <c r="A35" s="155"/>
      <c r="B35" s="158"/>
      <c r="C35" s="43" t="s">
        <v>22</v>
      </c>
      <c r="D35" s="55">
        <v>0.02</v>
      </c>
      <c r="E35" s="4" t="s">
        <v>134</v>
      </c>
      <c r="F35" s="22">
        <v>0.02</v>
      </c>
      <c r="G35" s="23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"))/100/COUNTIFS('ליקויים מהמערכת'!$G:$G,$B$1,'ליקויים מהמערכת'!$C:$C,REPLACE(E35,1,0,"ליקוי ל: ")))</f>
        <v>1</v>
      </c>
      <c r="H35" s="20" t="str">
        <f t="shared" si="0"/>
        <v/>
      </c>
      <c r="I35" s="20" t="str">
        <f t="shared" si="2"/>
        <v/>
      </c>
      <c r="J35" s="29">
        <f t="shared" si="3"/>
        <v>0.02</v>
      </c>
      <c r="K35" s="20" t="str">
        <f t="shared" si="4"/>
        <v/>
      </c>
      <c r="L35" s="161"/>
      <c r="M35" s="30">
        <f t="shared" si="5"/>
        <v>1</v>
      </c>
      <c r="N35" s="29">
        <f>SUM(J35)/D35*L34+SUM(J35)</f>
        <v>2.2499999999999999E-2</v>
      </c>
      <c r="O35" s="163"/>
      <c r="P35" s="163"/>
      <c r="Q35" s="178"/>
      <c r="U35">
        <f>COUNTIFS('ליקויים מהמערכת'!$G:$G,$B$1,'ליקויים מהמערכת'!$C:$C,REPLACE(E35,1,0,"ליקוי ל: "))</f>
        <v>1</v>
      </c>
    </row>
    <row r="36" spans="1:21" ht="15" x14ac:dyDescent="0.25">
      <c r="A36" s="155"/>
      <c r="B36" s="158"/>
      <c r="C36" s="43" t="s">
        <v>23</v>
      </c>
      <c r="D36" s="55">
        <v>0.01</v>
      </c>
      <c r="E36" s="4" t="s">
        <v>135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"))/100/COUNTIFS('ליקויים מהמערכת'!$G:$G,$B$1,'ליקויים מהמערכת'!$C:$C,REPLACE(E36,1,0,"ליקוי ל: ")))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61"/>
      <c r="M36" s="30" t="str">
        <f t="shared" si="5"/>
        <v/>
      </c>
      <c r="N36" s="29">
        <f>SUM(J36)/D36*L34+SUM(J36)</f>
        <v>0</v>
      </c>
      <c r="O36" s="163"/>
      <c r="P36" s="163"/>
      <c r="Q36" s="178"/>
      <c r="U36">
        <f>COUNTIFS('ליקויים מהמערכת'!$G:$G,$B$1,'ליקויים מהמערכת'!$C:$C,REPLACE(E36,1,0,"ליקוי ל: "))</f>
        <v>0</v>
      </c>
    </row>
    <row r="37" spans="1:21" ht="15" x14ac:dyDescent="0.25">
      <c r="A37" s="155"/>
      <c r="B37" s="158"/>
      <c r="C37" s="43" t="s">
        <v>24</v>
      </c>
      <c r="D37" s="55">
        <v>0.01</v>
      </c>
      <c r="E37" s="4" t="s">
        <v>136</v>
      </c>
      <c r="F37" s="22">
        <v>0.01</v>
      </c>
      <c r="G37" s="23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"))/100/COUNTIFS('ליקויים מהמערכת'!$G:$G,$B$1,'ליקויים מהמערכת'!$C:$C,REPLACE(E37,1,0,"ליקוי ל: ")))</f>
        <v>1</v>
      </c>
      <c r="H37" s="20" t="str">
        <f t="shared" si="0"/>
        <v/>
      </c>
      <c r="I37" s="20" t="str">
        <f t="shared" si="2"/>
        <v/>
      </c>
      <c r="J37" s="29">
        <f t="shared" si="3"/>
        <v>0.01</v>
      </c>
      <c r="K37" s="20" t="str">
        <f t="shared" si="4"/>
        <v/>
      </c>
      <c r="L37" s="161"/>
      <c r="M37" s="30">
        <f t="shared" si="5"/>
        <v>1</v>
      </c>
      <c r="N37" s="29">
        <f>SUM(J37)/D37*L34+SUM(J37)</f>
        <v>1.2500000000000001E-2</v>
      </c>
      <c r="O37" s="163"/>
      <c r="P37" s="163"/>
      <c r="Q37" s="178"/>
      <c r="U37">
        <f>COUNTIFS('ליקויים מהמערכת'!$G:$G,$B$1,'ליקויים מהמערכת'!$C:$C,REPLACE(E37,1,0,"ליקוי ל: "))</f>
        <v>1</v>
      </c>
    </row>
    <row r="38" spans="1:21" ht="15.75" thickBot="1" x14ac:dyDescent="0.3">
      <c r="A38" s="156"/>
      <c r="B38" s="159"/>
      <c r="C38" s="44" t="s">
        <v>25</v>
      </c>
      <c r="D38" s="56">
        <v>0.01</v>
      </c>
      <c r="E38" s="8" t="s">
        <v>137</v>
      </c>
      <c r="F38" s="36">
        <v>0.01</v>
      </c>
      <c r="G38" s="31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"))/100/COUNTIFS('ליקויים מהמערכת'!$G:$G,$B$1,'ליקויים מהמערכת'!$C:$C,REPLACE(E38,1,0,"ליקוי ל: ")))</f>
        <v>1</v>
      </c>
      <c r="H38" s="26" t="str">
        <f t="shared" si="0"/>
        <v/>
      </c>
      <c r="I38" s="26" t="str">
        <f t="shared" si="2"/>
        <v/>
      </c>
      <c r="J38" s="32">
        <f t="shared" si="3"/>
        <v>0.01</v>
      </c>
      <c r="K38" s="26" t="str">
        <f t="shared" si="4"/>
        <v/>
      </c>
      <c r="L38" s="164"/>
      <c r="M38" s="37">
        <f t="shared" si="5"/>
        <v>1</v>
      </c>
      <c r="N38" s="32">
        <f>SUM(J38)/D38*L34+SUM(J38)</f>
        <v>1.2500000000000001E-2</v>
      </c>
      <c r="O38" s="176"/>
      <c r="P38" s="176"/>
      <c r="Q38" s="179"/>
      <c r="U38">
        <f>COUNTIFS('ליקויים מהמערכת'!$G:$G,$B$1,'ליקויים מהמערכת'!$C:$C,REPLACE(E38,1,0,"ליקוי ל: "))</f>
        <v>1</v>
      </c>
    </row>
    <row r="39" spans="1:21" ht="15" x14ac:dyDescent="0.25">
      <c r="A39" s="154" t="s">
        <v>4</v>
      </c>
      <c r="B39" s="157">
        <v>0.05</v>
      </c>
      <c r="C39" s="45" t="s">
        <v>26</v>
      </c>
      <c r="D39" s="57">
        <v>0.03</v>
      </c>
      <c r="E39" s="7" t="s">
        <v>138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"))/100/COUNTIFS('ליקויים מהמערכת'!$G:$G,$B$1,'ליקויים מהמערכת'!$C:$C,REPLACE(E39,1,0,"ליקוי ל: ")))</f>
        <v>0.25</v>
      </c>
      <c r="H39" s="16" t="str">
        <f t="shared" si="0"/>
        <v/>
      </c>
      <c r="I39" s="16" t="str">
        <f t="shared" si="2"/>
        <v/>
      </c>
      <c r="J39" s="28">
        <f t="shared" si="3"/>
        <v>7.4999999999999997E-3</v>
      </c>
      <c r="K39" s="16" t="str">
        <f t="shared" si="4"/>
        <v/>
      </c>
      <c r="L39" s="160">
        <f>IFERROR(SUM(K39:K41)/SUM(M39:M41),0)</f>
        <v>5.0000000000000001E-3</v>
      </c>
      <c r="M39" s="35">
        <f t="shared" si="5"/>
        <v>1</v>
      </c>
      <c r="N39" s="28">
        <f>SUM(J39)/D39*L39+SUM(J39)</f>
        <v>8.7499999999999991E-3</v>
      </c>
      <c r="O39" s="162">
        <f>IF(L39&gt;0,1,IF(SUM(M39:M41)=3,1,""))</f>
        <v>1</v>
      </c>
      <c r="P39" s="162" t="str">
        <f>IF(O39="",B39,"")</f>
        <v/>
      </c>
      <c r="Q39" s="177">
        <f>SUM(P4:P48)/SUM(O4:O48)*(SUM(N39:N41)/B39)+SUM(N39:N41)</f>
        <v>2.6916666666666665E-2</v>
      </c>
      <c r="U39">
        <f>COUNTIFS('ליקויים מהמערכת'!$G:$G,$B$1,'ליקויים מהמערכת'!$C:$C,REPLACE(E39,1,0,"ליקוי ל: "))</f>
        <v>2</v>
      </c>
    </row>
    <row r="40" spans="1:21" ht="15" x14ac:dyDescent="0.25">
      <c r="A40" s="155"/>
      <c r="B40" s="158"/>
      <c r="C40" s="46" t="s">
        <v>27</v>
      </c>
      <c r="D40" s="58">
        <v>0.01</v>
      </c>
      <c r="E40" s="4" t="s">
        <v>139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"))/100/COUNTIFS('ליקויים מהמערכת'!$G:$G,$B$1,'ליקויים מהמערכת'!$C:$C,REPLACE(E40,1,0,"ליקוי ל: ")))</f>
        <v>1</v>
      </c>
      <c r="H40" s="20" t="str">
        <f t="shared" si="0"/>
        <v/>
      </c>
      <c r="I40" s="20" t="str">
        <f t="shared" si="2"/>
        <v/>
      </c>
      <c r="J40" s="29">
        <f t="shared" si="3"/>
        <v>0.01</v>
      </c>
      <c r="K40" s="20" t="str">
        <f t="shared" si="4"/>
        <v/>
      </c>
      <c r="L40" s="161"/>
      <c r="M40" s="30">
        <f t="shared" si="5"/>
        <v>1</v>
      </c>
      <c r="N40" s="29">
        <f>SUM(J40)/D40*L39+SUM(J40)</f>
        <v>1.4999999999999999E-2</v>
      </c>
      <c r="O40" s="163"/>
      <c r="P40" s="163"/>
      <c r="Q40" s="178"/>
      <c r="U40">
        <f>COUNTIFS('ליקויים מהמערכת'!$G:$G,$B$1,'ליקויים מהמערכת'!$C:$C,REPLACE(E40,1,0,"ליקוי ל: "))</f>
        <v>2</v>
      </c>
    </row>
    <row r="41" spans="1:21" ht="15.75" thickBot="1" x14ac:dyDescent="0.3">
      <c r="A41" s="156"/>
      <c r="B41" s="159"/>
      <c r="C41" s="47" t="s">
        <v>28</v>
      </c>
      <c r="D41" s="59">
        <v>0.01</v>
      </c>
      <c r="E41" s="8" t="s">
        <v>140</v>
      </c>
      <c r="F41" s="36">
        <v>0.01</v>
      </c>
      <c r="G41" s="31" t="str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"))/100/COUNTIFS('ליקויים מהמערכת'!$G:$G,$B$1,'ליקויים מהמערכת'!$C:$C,REPLACE(E41,1,0,"ליקוי ל: ")))</f>
        <v/>
      </c>
      <c r="H41" s="26">
        <f t="shared" si="0"/>
        <v>0.01</v>
      </c>
      <c r="I41" s="26">
        <f t="shared" si="2"/>
        <v>0.01</v>
      </c>
      <c r="J41" s="32" t="str">
        <f t="shared" si="3"/>
        <v/>
      </c>
      <c r="K41" s="26">
        <f t="shared" si="4"/>
        <v>0.01</v>
      </c>
      <c r="L41" s="164"/>
      <c r="M41" s="37" t="str">
        <f t="shared" si="5"/>
        <v/>
      </c>
      <c r="N41" s="41">
        <f>SUM(J41)/D41*L39+SUM(J41)</f>
        <v>0</v>
      </c>
      <c r="O41" s="176"/>
      <c r="P41" s="176"/>
      <c r="Q41" s="179"/>
      <c r="U41">
        <f>COUNTIFS('ליקויים מהמערכת'!$G:$G,$B$1,'ליקויים מהמערכת'!$C:$C,REPLACE(E41,1,0,"ליקוי ל: "))</f>
        <v>0</v>
      </c>
    </row>
    <row r="42" spans="1:21" ht="30" x14ac:dyDescent="0.25">
      <c r="A42" s="154" t="s">
        <v>5</v>
      </c>
      <c r="B42" s="157">
        <v>7.0000000000000007E-2</v>
      </c>
      <c r="C42" s="45" t="s">
        <v>29</v>
      </c>
      <c r="D42" s="57">
        <v>0.02</v>
      </c>
      <c r="E42" s="9" t="s">
        <v>51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"))/100/COUNTIFS('ליקויים מהמערכת'!$G:$G,$B$1,'ליקויים מהמערכת'!$C:$C,REPLACE(E42,1,0,"ליקוי ל: ")))</f>
        <v>1</v>
      </c>
      <c r="H42" s="16" t="str">
        <f t="shared" si="0"/>
        <v/>
      </c>
      <c r="I42" s="16" t="str">
        <f t="shared" si="2"/>
        <v/>
      </c>
      <c r="J42" s="28">
        <f t="shared" si="3"/>
        <v>0.02</v>
      </c>
      <c r="K42" s="16" t="str">
        <f t="shared" si="4"/>
        <v/>
      </c>
      <c r="L42" s="160">
        <f>IFERROR(SUM(K42:K45)/SUM(M42:M45),0)</f>
        <v>0</v>
      </c>
      <c r="M42" s="35">
        <f t="shared" si="5"/>
        <v>1</v>
      </c>
      <c r="N42" s="28">
        <f>SUM(J42)/D42*L42+SUM(J42)</f>
        <v>0.02</v>
      </c>
      <c r="O42" s="162">
        <f>IF(L42&gt;0,1,IF(SUM(M42:M45)=4,1,""))</f>
        <v>1</v>
      </c>
      <c r="P42" s="160" t="str">
        <f>IF(O42="",B42,"")</f>
        <v/>
      </c>
      <c r="Q42" s="177">
        <f>SUM(P4:P48)/SUM(O4:O48)*(SUM(N42:N45)/B42)+SUM(N42:N45)</f>
        <v>3.833333333333333E-2</v>
      </c>
      <c r="U42">
        <f>COUNTIFS('ליקויים מהמערכת'!$G:$G,$B$1,'ליקויים מהמערכת'!$C:$C,REPLACE(E42,1,0,"ליקוי ל: "))</f>
        <v>2</v>
      </c>
    </row>
    <row r="43" spans="1:21" ht="15" x14ac:dyDescent="0.25">
      <c r="A43" s="155"/>
      <c r="B43" s="158"/>
      <c r="C43" s="46" t="s">
        <v>30</v>
      </c>
      <c r="D43" s="58">
        <v>0.02</v>
      </c>
      <c r="E43" s="5" t="s">
        <v>52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"))/100/COUNTIFS('ליקויים מהמערכת'!$G:$G,$B$1,'ליקויים מהמערכת'!$C:$C,REPLACE(E43,1,0,"ליקוי ל: ")))</f>
        <v>0</v>
      </c>
      <c r="H43" s="20" t="str">
        <f t="shared" si="0"/>
        <v/>
      </c>
      <c r="I43" s="20" t="str">
        <f t="shared" si="2"/>
        <v/>
      </c>
      <c r="J43" s="29">
        <f t="shared" si="3"/>
        <v>0</v>
      </c>
      <c r="K43" s="20" t="str">
        <f t="shared" si="4"/>
        <v/>
      </c>
      <c r="L43" s="161"/>
      <c r="M43" s="30">
        <f t="shared" si="5"/>
        <v>1</v>
      </c>
      <c r="N43" s="29">
        <f>SUM(J43)/D43*L42+SUM(J43)</f>
        <v>0</v>
      </c>
      <c r="O43" s="163"/>
      <c r="P43" s="161"/>
      <c r="Q43" s="178"/>
      <c r="U43">
        <f>COUNTIFS('ליקויים מהמערכת'!$G:$G,$B$1,'ליקויים מהמערכת'!$C:$C,REPLACE(E43,1,0,"ליקוי ל: "))</f>
        <v>2</v>
      </c>
    </row>
    <row r="44" spans="1:21" ht="15" x14ac:dyDescent="0.25">
      <c r="A44" s="155"/>
      <c r="B44" s="158"/>
      <c r="C44" s="46" t="s">
        <v>31</v>
      </c>
      <c r="D44" s="58">
        <v>0.01</v>
      </c>
      <c r="E44" s="4" t="s">
        <v>141</v>
      </c>
      <c r="F44" s="22">
        <v>0.01</v>
      </c>
      <c r="G44" s="23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"))/100/COUNTIFS('ליקויים מהמערכת'!$G:$G,$B$1,'ליקויים מהמערכת'!$C:$C,REPLACE(E44,1,0,"ליקוי ל: ")))</f>
        <v>1</v>
      </c>
      <c r="H44" s="20" t="str">
        <f t="shared" si="0"/>
        <v/>
      </c>
      <c r="I44" s="20" t="str">
        <f t="shared" si="2"/>
        <v/>
      </c>
      <c r="J44" s="29">
        <f t="shared" si="3"/>
        <v>0.01</v>
      </c>
      <c r="K44" s="20" t="str">
        <f t="shared" si="4"/>
        <v/>
      </c>
      <c r="L44" s="161"/>
      <c r="M44" s="30">
        <f t="shared" si="5"/>
        <v>1</v>
      </c>
      <c r="N44" s="29">
        <f>SUM(J44)/D44*L42+SUM(J44)</f>
        <v>0.01</v>
      </c>
      <c r="O44" s="163"/>
      <c r="P44" s="161"/>
      <c r="Q44" s="178"/>
      <c r="U44">
        <f>COUNTIFS('ליקויים מהמערכת'!$G:$G,$B$1,'ליקויים מהמערכת'!$C:$C,REPLACE(E44,1,0,"ליקוי ל: "))</f>
        <v>1</v>
      </c>
    </row>
    <row r="45" spans="1:21" ht="15.75" thickBot="1" x14ac:dyDescent="0.3">
      <c r="A45" s="156"/>
      <c r="B45" s="159"/>
      <c r="C45" s="47" t="s">
        <v>32</v>
      </c>
      <c r="D45" s="59">
        <v>0.02</v>
      </c>
      <c r="E45" s="8" t="s">
        <v>142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"))/100/COUNTIFS('ליקויים מהמערכת'!$G:$G,$B$1,'ליקויים מהמערכת'!$C:$C,REPLACE(E45,1,0,"ליקוי ל: ")))</f>
        <v>0.25</v>
      </c>
      <c r="H45" s="26" t="str">
        <f t="shared" si="0"/>
        <v/>
      </c>
      <c r="I45" s="26" t="str">
        <f t="shared" si="2"/>
        <v/>
      </c>
      <c r="J45" s="32">
        <f t="shared" si="3"/>
        <v>5.0000000000000001E-3</v>
      </c>
      <c r="K45" s="26" t="str">
        <f t="shared" si="4"/>
        <v/>
      </c>
      <c r="L45" s="164"/>
      <c r="M45" s="37">
        <f t="shared" si="5"/>
        <v>1</v>
      </c>
      <c r="N45" s="32">
        <f>SUM(J45)/D45*L42+SUM(J45)</f>
        <v>5.0000000000000001E-3</v>
      </c>
      <c r="O45" s="176"/>
      <c r="P45" s="164"/>
      <c r="Q45" s="179"/>
      <c r="U45">
        <f>COUNTIFS('ליקויים מהמערכת'!$G:$G,$B$1,'ליקויים מהמערכת'!$C:$C,REPLACE(E45,1,0,"ליקוי ל: "))</f>
        <v>2</v>
      </c>
    </row>
    <row r="46" spans="1:21" ht="15" x14ac:dyDescent="0.25">
      <c r="A46" s="154" t="s">
        <v>6</v>
      </c>
      <c r="B46" s="157">
        <v>0.04</v>
      </c>
      <c r="C46" s="187" t="s">
        <v>33</v>
      </c>
      <c r="D46" s="57">
        <v>0.02</v>
      </c>
      <c r="E46" s="7" t="s">
        <v>143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"))/100/COUNTIFS('ליקויים מהמערכת'!$G:$G,$B$1,'ליקויים מהמערכת'!$C:$C,REPLACE(E46,1,0,"ליקוי ל: ")))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60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62" t="str">
        <f>IF(L46&gt;0,1,IF(SUM(M46:M48)=3,1,""))</f>
        <v/>
      </c>
      <c r="P46" s="162">
        <f>IF(O46="",B46,"")</f>
        <v>0.04</v>
      </c>
      <c r="Q46" s="177">
        <f>SUM(P4:P48)/SUM(O4:O48)*(SUM(N46:N48)/B46)+SUM(N46:N48)</f>
        <v>0</v>
      </c>
      <c r="U46">
        <f>COUNTIFS('ליקויים מהמערכת'!$G:$G,$B$1,'ליקויים מהמערכת'!$C:$C,REPLACE(E46,1,0,"ליקוי ל: "))</f>
        <v>0</v>
      </c>
    </row>
    <row r="47" spans="1:21" ht="15" x14ac:dyDescent="0.25">
      <c r="A47" s="155"/>
      <c r="B47" s="158"/>
      <c r="C47" s="182"/>
      <c r="D47" s="58">
        <v>0.01</v>
      </c>
      <c r="E47" s="4" t="s">
        <v>144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"))/100/COUNTIFS('ליקויים מהמערכת'!$G:$G,$B$1,'ליקויים מהמערכת'!$C:$C,REPLACE(E47,1,0,"ליקוי ל: ")))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61"/>
      <c r="M47" s="30" t="str">
        <f t="shared" si="5"/>
        <v/>
      </c>
      <c r="N47" s="40">
        <f>SUM(J47)/D47*L46+SUM(J47)</f>
        <v>0</v>
      </c>
      <c r="O47" s="163"/>
      <c r="P47" s="163"/>
      <c r="Q47" s="178"/>
      <c r="U47">
        <f>COUNTIFS('ליקויים מהמערכת'!$G:$G,$B$1,'ליקויים מהמערכת'!$C:$C,REPLACE(E47,1,0,"ליקוי ל: "))</f>
        <v>0</v>
      </c>
    </row>
    <row r="48" spans="1:21" ht="15" thickBot="1" x14ac:dyDescent="0.25">
      <c r="A48" s="156"/>
      <c r="B48" s="159"/>
      <c r="C48" s="183"/>
      <c r="D48" s="59">
        <v>0.01</v>
      </c>
      <c r="E48" s="10" t="s">
        <v>145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"))/100/COUNTIFS('ליקויים מהמערכת'!$G:$G,$B$1,'ליקויים מהמערכת'!$C:$C,REPLACE(E48,1,0,"ליקוי ל: ")))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64"/>
      <c r="M48" s="37" t="str">
        <f t="shared" si="5"/>
        <v/>
      </c>
      <c r="N48" s="41">
        <f>SUM(J48)/D48*L46+SUM(J48)</f>
        <v>0</v>
      </c>
      <c r="O48" s="176"/>
      <c r="P48" s="176"/>
      <c r="Q48" s="179"/>
      <c r="U48">
        <f>COUNTIFS('ליקויים מהמערכת'!$G:$G,$B$1,'ליקויים מהמערכת'!$C:$C,REPLACE(E48,1,0,"ליקוי ל: "))</f>
        <v>0</v>
      </c>
    </row>
    <row r="49" spans="6:21" x14ac:dyDescent="0.2">
      <c r="U49">
        <f>SUM(U4:U48)</f>
        <v>33</v>
      </c>
    </row>
    <row r="51" spans="6:21" x14ac:dyDescent="0.2">
      <c r="F51" t="s">
        <v>91</v>
      </c>
      <c r="G51">
        <f>COUNT(G4:G48)</f>
        <v>24</v>
      </c>
    </row>
  </sheetData>
  <mergeCells count="91"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A30:A33"/>
    <mergeCell ref="B30:B33"/>
    <mergeCell ref="L30:L33"/>
    <mergeCell ref="O30:O33"/>
    <mergeCell ref="P30:P33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A12:A29"/>
    <mergeCell ref="B12:B29"/>
    <mergeCell ref="C12:C20"/>
    <mergeCell ref="D12:D20"/>
    <mergeCell ref="I12:I20"/>
    <mergeCell ref="C21:C22"/>
    <mergeCell ref="C25:C26"/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rightToLeft="1" workbookViewId="0">
      <selection activeCell="C73" sqref="C73"/>
    </sheetView>
  </sheetViews>
  <sheetFormatPr defaultRowHeight="14.25" x14ac:dyDescent="0.2"/>
  <cols>
    <col min="1" max="1" width="11.375" style="125" customWidth="1"/>
    <col min="2" max="2" width="15.375" style="125" customWidth="1"/>
    <col min="3" max="3" width="54.375" style="125" customWidth="1"/>
    <col min="4" max="4" width="11.125" style="125" customWidth="1"/>
    <col min="5" max="5" width="10.375" style="125" customWidth="1"/>
    <col min="6" max="6" width="10.5" style="125" customWidth="1"/>
    <col min="7" max="7" width="28.375" style="125" customWidth="1"/>
    <col min="8" max="8" width="21.75" style="125" customWidth="1"/>
    <col min="9" max="9" width="11.375" style="125" customWidth="1"/>
    <col min="10" max="16384" width="9" style="125"/>
  </cols>
  <sheetData>
    <row r="1" spans="1:9" x14ac:dyDescent="0.2">
      <c r="A1" s="125" t="s">
        <v>181</v>
      </c>
      <c r="B1" s="125" t="s">
        <v>182</v>
      </c>
      <c r="C1" s="125" t="s">
        <v>183</v>
      </c>
      <c r="D1" s="125" t="s">
        <v>184</v>
      </c>
      <c r="E1" s="125" t="s">
        <v>185</v>
      </c>
      <c r="F1" s="125" t="s">
        <v>186</v>
      </c>
      <c r="G1" s="125" t="s">
        <v>187</v>
      </c>
      <c r="H1" s="125" t="s">
        <v>188</v>
      </c>
      <c r="I1" s="125" t="s">
        <v>189</v>
      </c>
    </row>
    <row r="2" spans="1:9" x14ac:dyDescent="0.2">
      <c r="A2" s="125">
        <v>2648</v>
      </c>
      <c r="B2" s="125">
        <v>48094207</v>
      </c>
      <c r="C2" s="125" t="s">
        <v>34</v>
      </c>
      <c r="D2" s="131">
        <v>43496</v>
      </c>
      <c r="E2" s="131">
        <v>43499</v>
      </c>
      <c r="F2" s="125">
        <v>4</v>
      </c>
      <c r="G2" s="125" t="s">
        <v>174</v>
      </c>
      <c r="H2" s="125">
        <v>100</v>
      </c>
    </row>
    <row r="3" spans="1:9" x14ac:dyDescent="0.2">
      <c r="A3" s="125">
        <v>4842</v>
      </c>
      <c r="B3" s="125">
        <v>48094456</v>
      </c>
      <c r="C3" s="125" t="s">
        <v>190</v>
      </c>
      <c r="D3" s="131">
        <v>43513</v>
      </c>
      <c r="E3" s="131">
        <v>43513</v>
      </c>
      <c r="F3" s="125">
        <v>1</v>
      </c>
      <c r="G3" s="125" t="s">
        <v>174</v>
      </c>
      <c r="H3" s="125">
        <v>100</v>
      </c>
      <c r="I3" s="125" t="s">
        <v>191</v>
      </c>
    </row>
    <row r="4" spans="1:9" x14ac:dyDescent="0.2">
      <c r="A4" s="125">
        <v>4994</v>
      </c>
      <c r="B4" s="125">
        <v>48094608</v>
      </c>
      <c r="C4" s="125" t="s">
        <v>39</v>
      </c>
      <c r="D4" s="131">
        <v>43514</v>
      </c>
      <c r="E4" s="131">
        <v>43514</v>
      </c>
      <c r="F4" s="125">
        <v>1</v>
      </c>
      <c r="G4" s="125" t="s">
        <v>174</v>
      </c>
      <c r="H4" s="125">
        <v>100</v>
      </c>
      <c r="I4" s="125" t="s">
        <v>192</v>
      </c>
    </row>
    <row r="5" spans="1:9" x14ac:dyDescent="0.2">
      <c r="A5" s="125">
        <v>5063</v>
      </c>
      <c r="B5" s="125">
        <v>48094760</v>
      </c>
      <c r="C5" s="125" t="s">
        <v>40</v>
      </c>
      <c r="D5" s="131">
        <v>43515</v>
      </c>
      <c r="E5" s="131">
        <v>43515</v>
      </c>
      <c r="F5" s="125">
        <v>1</v>
      </c>
      <c r="G5" s="125" t="s">
        <v>174</v>
      </c>
      <c r="H5" s="125">
        <v>100</v>
      </c>
      <c r="I5" s="125" t="s">
        <v>193</v>
      </c>
    </row>
    <row r="6" spans="1:9" x14ac:dyDescent="0.2">
      <c r="A6" s="125">
        <v>7488</v>
      </c>
      <c r="B6" s="125">
        <v>48094813</v>
      </c>
      <c r="C6" s="125" t="s">
        <v>163</v>
      </c>
      <c r="D6" s="131">
        <v>43544</v>
      </c>
      <c r="E6" s="131">
        <v>43544</v>
      </c>
      <c r="F6" s="125">
        <v>1</v>
      </c>
      <c r="G6" s="125" t="s">
        <v>174</v>
      </c>
      <c r="H6" s="125">
        <v>100</v>
      </c>
      <c r="I6" s="125" t="s">
        <v>194</v>
      </c>
    </row>
    <row r="7" spans="1:9" x14ac:dyDescent="0.2">
      <c r="A7" s="125">
        <v>7635</v>
      </c>
      <c r="B7" s="125">
        <v>48094965</v>
      </c>
      <c r="C7" s="125" t="s">
        <v>136</v>
      </c>
      <c r="D7" s="131">
        <v>43544</v>
      </c>
      <c r="E7" s="131">
        <v>43544</v>
      </c>
      <c r="F7" s="125">
        <v>1</v>
      </c>
      <c r="G7" s="125" t="s">
        <v>174</v>
      </c>
      <c r="H7" s="125">
        <v>100</v>
      </c>
      <c r="I7" s="125" t="s">
        <v>195</v>
      </c>
    </row>
    <row r="8" spans="1:9" x14ac:dyDescent="0.2">
      <c r="A8" s="125">
        <v>7670</v>
      </c>
      <c r="B8" s="125">
        <v>48095117</v>
      </c>
      <c r="C8" s="125" t="s">
        <v>137</v>
      </c>
      <c r="D8" s="131">
        <v>43544</v>
      </c>
      <c r="E8" s="131">
        <v>43544</v>
      </c>
      <c r="F8" s="125">
        <v>1</v>
      </c>
      <c r="G8" s="125" t="s">
        <v>174</v>
      </c>
      <c r="H8" s="125">
        <v>100</v>
      </c>
      <c r="I8" s="125" t="s">
        <v>196</v>
      </c>
    </row>
    <row r="9" spans="1:9" x14ac:dyDescent="0.2">
      <c r="A9" s="125">
        <v>7816</v>
      </c>
      <c r="B9" s="125">
        <v>48095269</v>
      </c>
      <c r="C9" s="125" t="s">
        <v>138</v>
      </c>
      <c r="D9" s="131">
        <v>43543</v>
      </c>
      <c r="E9" s="131">
        <v>43544</v>
      </c>
      <c r="F9" s="125">
        <v>2</v>
      </c>
      <c r="G9" s="125" t="s">
        <v>174</v>
      </c>
      <c r="H9" s="125">
        <v>100</v>
      </c>
      <c r="I9" s="125" t="s">
        <v>197</v>
      </c>
    </row>
    <row r="10" spans="1:9" x14ac:dyDescent="0.2">
      <c r="A10" s="125">
        <v>7913</v>
      </c>
      <c r="B10" s="125">
        <v>48095421</v>
      </c>
      <c r="C10" s="125" t="s">
        <v>139</v>
      </c>
      <c r="D10" s="131">
        <v>43543</v>
      </c>
      <c r="E10" s="131">
        <v>43544</v>
      </c>
      <c r="F10" s="125">
        <v>2</v>
      </c>
      <c r="G10" s="125" t="s">
        <v>174</v>
      </c>
      <c r="H10" s="125">
        <v>100</v>
      </c>
      <c r="I10" s="125" t="s">
        <v>198</v>
      </c>
    </row>
    <row r="11" spans="1:9" x14ac:dyDescent="0.2">
      <c r="A11" s="125">
        <v>4691</v>
      </c>
      <c r="B11" s="125">
        <v>48095538</v>
      </c>
      <c r="C11" s="125" t="s">
        <v>38</v>
      </c>
      <c r="D11" s="131">
        <v>43511</v>
      </c>
      <c r="E11" s="131">
        <v>43512</v>
      </c>
      <c r="F11" s="125">
        <v>2</v>
      </c>
      <c r="G11" s="125" t="s">
        <v>174</v>
      </c>
      <c r="H11" s="125">
        <v>100</v>
      </c>
      <c r="I11" s="125" t="s">
        <v>199</v>
      </c>
    </row>
    <row r="12" spans="1:9" x14ac:dyDescent="0.2">
      <c r="A12" s="125">
        <v>3798</v>
      </c>
      <c r="B12" s="125">
        <v>48095690</v>
      </c>
      <c r="C12" s="125" t="s">
        <v>36</v>
      </c>
      <c r="D12" s="131">
        <v>43502</v>
      </c>
      <c r="E12" s="131">
        <v>43505</v>
      </c>
      <c r="F12" s="125">
        <v>4</v>
      </c>
      <c r="G12" s="125" t="s">
        <v>174</v>
      </c>
      <c r="H12" s="125">
        <v>100</v>
      </c>
      <c r="I12" s="125" t="s">
        <v>200</v>
      </c>
    </row>
    <row r="13" spans="1:9" x14ac:dyDescent="0.2">
      <c r="A13" s="125">
        <v>4095</v>
      </c>
      <c r="B13" s="125">
        <v>48095842</v>
      </c>
      <c r="C13" s="125" t="s">
        <v>201</v>
      </c>
      <c r="D13" s="131">
        <v>43506</v>
      </c>
      <c r="E13" s="131">
        <v>43506</v>
      </c>
      <c r="F13" s="125">
        <v>1</v>
      </c>
      <c r="G13" s="125" t="s">
        <v>174</v>
      </c>
      <c r="H13" s="125">
        <v>100</v>
      </c>
      <c r="I13" s="125" t="s">
        <v>202</v>
      </c>
    </row>
    <row r="14" spans="1:9" x14ac:dyDescent="0.2">
      <c r="A14" s="125">
        <v>6933</v>
      </c>
      <c r="B14" s="125">
        <v>48096053</v>
      </c>
      <c r="C14" s="125" t="s">
        <v>130</v>
      </c>
      <c r="D14" s="131">
        <v>43539</v>
      </c>
      <c r="E14" s="131">
        <v>43539</v>
      </c>
      <c r="F14" s="125">
        <v>1</v>
      </c>
      <c r="G14" s="125" t="s">
        <v>174</v>
      </c>
      <c r="H14" s="125">
        <v>100</v>
      </c>
      <c r="I14" s="125" t="s">
        <v>203</v>
      </c>
    </row>
    <row r="15" spans="1:9" x14ac:dyDescent="0.2">
      <c r="A15" s="125">
        <v>7065</v>
      </c>
      <c r="B15" s="125">
        <v>48096205</v>
      </c>
      <c r="C15" s="125" t="s">
        <v>131</v>
      </c>
      <c r="D15" s="131">
        <v>43540</v>
      </c>
      <c r="E15" s="131">
        <v>43540</v>
      </c>
      <c r="F15" s="125">
        <v>1</v>
      </c>
      <c r="G15" s="125" t="s">
        <v>174</v>
      </c>
      <c r="H15" s="125">
        <v>100</v>
      </c>
      <c r="I15" s="125" t="s">
        <v>204</v>
      </c>
    </row>
    <row r="16" spans="1:9" x14ac:dyDescent="0.2">
      <c r="A16" s="125">
        <v>7121</v>
      </c>
      <c r="B16" s="125">
        <v>48096357</v>
      </c>
      <c r="C16" s="125" t="s">
        <v>162</v>
      </c>
      <c r="D16" s="131">
        <v>43541</v>
      </c>
      <c r="E16" s="131">
        <v>43542</v>
      </c>
      <c r="F16" s="125">
        <v>2</v>
      </c>
      <c r="G16" s="125" t="s">
        <v>174</v>
      </c>
      <c r="H16" s="125">
        <v>100</v>
      </c>
      <c r="I16" s="125" t="s">
        <v>205</v>
      </c>
    </row>
    <row r="17" spans="1:9" x14ac:dyDescent="0.2">
      <c r="A17" s="125">
        <v>4237</v>
      </c>
      <c r="B17" s="125">
        <v>48096520</v>
      </c>
      <c r="C17" s="125" t="s">
        <v>37</v>
      </c>
      <c r="D17" s="131">
        <v>43507</v>
      </c>
      <c r="E17" s="131">
        <v>43510</v>
      </c>
      <c r="F17" s="125">
        <v>4</v>
      </c>
      <c r="G17" s="125" t="s">
        <v>174</v>
      </c>
      <c r="H17" s="125">
        <v>100</v>
      </c>
      <c r="I17" s="125" t="s">
        <v>206</v>
      </c>
    </row>
    <row r="18" spans="1:9" x14ac:dyDescent="0.2">
      <c r="A18" s="125">
        <v>3304</v>
      </c>
      <c r="B18" s="125">
        <v>48096672</v>
      </c>
      <c r="C18" s="125" t="s">
        <v>35</v>
      </c>
      <c r="D18" s="131">
        <v>43500</v>
      </c>
      <c r="E18" s="131">
        <v>43501</v>
      </c>
      <c r="F18" s="125">
        <v>2</v>
      </c>
      <c r="G18" s="125" t="s">
        <v>174</v>
      </c>
      <c r="H18" s="125">
        <v>100</v>
      </c>
      <c r="I18" s="125" t="s">
        <v>207</v>
      </c>
    </row>
    <row r="19" spans="1:9" x14ac:dyDescent="0.2">
      <c r="A19" s="125">
        <v>7217</v>
      </c>
      <c r="B19" s="125">
        <v>48096736</v>
      </c>
      <c r="C19" s="125" t="s">
        <v>132</v>
      </c>
      <c r="D19" s="131">
        <v>43543</v>
      </c>
      <c r="E19" s="131">
        <v>43544</v>
      </c>
      <c r="F19" s="125">
        <v>2</v>
      </c>
      <c r="G19" s="125" t="s">
        <v>174</v>
      </c>
      <c r="H19" s="125">
        <v>100</v>
      </c>
      <c r="I19" s="125" t="s">
        <v>208</v>
      </c>
    </row>
    <row r="20" spans="1:9" x14ac:dyDescent="0.2">
      <c r="A20" s="125">
        <v>7303</v>
      </c>
      <c r="B20" s="125">
        <v>48096888</v>
      </c>
      <c r="C20" s="125" t="s">
        <v>133</v>
      </c>
      <c r="D20" s="131">
        <v>43544</v>
      </c>
      <c r="E20" s="131">
        <v>43544</v>
      </c>
      <c r="F20" s="125">
        <v>1</v>
      </c>
      <c r="G20" s="125" t="s">
        <v>174</v>
      </c>
      <c r="H20" s="125">
        <v>100</v>
      </c>
      <c r="I20" s="125" t="s">
        <v>209</v>
      </c>
    </row>
    <row r="21" spans="1:9" x14ac:dyDescent="0.2">
      <c r="A21" s="125">
        <v>7451</v>
      </c>
      <c r="B21" s="125">
        <v>48097040</v>
      </c>
      <c r="C21" s="125" t="s">
        <v>134</v>
      </c>
      <c r="D21" s="131">
        <v>43544</v>
      </c>
      <c r="E21" s="131">
        <v>43544</v>
      </c>
      <c r="F21" s="125">
        <v>1</v>
      </c>
      <c r="G21" s="125" t="s">
        <v>174</v>
      </c>
      <c r="H21" s="125">
        <v>100</v>
      </c>
      <c r="I21" s="125" t="s">
        <v>210</v>
      </c>
    </row>
    <row r="22" spans="1:9" x14ac:dyDescent="0.2">
      <c r="A22" s="125">
        <v>5214</v>
      </c>
      <c r="B22" s="125">
        <v>48097291</v>
      </c>
      <c r="C22" s="125" t="s">
        <v>41</v>
      </c>
      <c r="D22" s="131">
        <v>43516</v>
      </c>
      <c r="E22" s="131">
        <v>43516</v>
      </c>
      <c r="F22" s="125">
        <v>1</v>
      </c>
      <c r="G22" s="125" t="s">
        <v>174</v>
      </c>
      <c r="H22" s="125">
        <v>100</v>
      </c>
      <c r="I22" s="125" t="s">
        <v>211</v>
      </c>
    </row>
    <row r="23" spans="1:9" x14ac:dyDescent="0.2">
      <c r="A23" s="125">
        <v>5274</v>
      </c>
      <c r="B23" s="125">
        <v>48097443</v>
      </c>
      <c r="C23" s="125" t="s">
        <v>42</v>
      </c>
      <c r="D23" s="131">
        <v>43517</v>
      </c>
      <c r="E23" s="131">
        <v>43517</v>
      </c>
      <c r="F23" s="125">
        <v>1</v>
      </c>
      <c r="G23" s="125" t="s">
        <v>174</v>
      </c>
      <c r="H23" s="125">
        <v>100</v>
      </c>
      <c r="I23" s="125" t="s">
        <v>212</v>
      </c>
    </row>
    <row r="24" spans="1:9" x14ac:dyDescent="0.2">
      <c r="A24" s="125">
        <v>7998</v>
      </c>
      <c r="B24" s="125">
        <v>48097650</v>
      </c>
      <c r="C24" s="125" t="s">
        <v>140</v>
      </c>
      <c r="D24" s="131">
        <v>43544</v>
      </c>
      <c r="E24" s="131">
        <v>43544</v>
      </c>
      <c r="F24" s="125">
        <v>1</v>
      </c>
      <c r="G24" s="125" t="s">
        <v>174</v>
      </c>
      <c r="H24" s="125">
        <v>100</v>
      </c>
      <c r="I24" s="125" t="s">
        <v>213</v>
      </c>
    </row>
    <row r="25" spans="1:9" x14ac:dyDescent="0.2">
      <c r="A25" s="125">
        <v>8032</v>
      </c>
      <c r="B25" s="125">
        <v>48097802</v>
      </c>
      <c r="C25" s="125" t="s">
        <v>164</v>
      </c>
      <c r="D25" s="131">
        <v>43543</v>
      </c>
      <c r="E25" s="131">
        <v>43544</v>
      </c>
      <c r="F25" s="125">
        <v>2</v>
      </c>
      <c r="G25" s="125" t="s">
        <v>174</v>
      </c>
      <c r="H25" s="125">
        <v>100</v>
      </c>
      <c r="I25" s="125" t="s">
        <v>214</v>
      </c>
    </row>
    <row r="26" spans="1:9" x14ac:dyDescent="0.2">
      <c r="A26" s="125">
        <v>8177</v>
      </c>
      <c r="B26" s="125">
        <v>48097954</v>
      </c>
      <c r="C26" s="125" t="s">
        <v>165</v>
      </c>
      <c r="D26" s="131">
        <v>43543</v>
      </c>
      <c r="E26" s="131">
        <v>43544</v>
      </c>
      <c r="F26" s="125">
        <v>2</v>
      </c>
      <c r="G26" s="125" t="s">
        <v>174</v>
      </c>
      <c r="H26" s="125">
        <v>100</v>
      </c>
      <c r="I26" s="125" t="s">
        <v>215</v>
      </c>
    </row>
    <row r="27" spans="1:9" x14ac:dyDescent="0.2">
      <c r="A27" s="125">
        <v>8274</v>
      </c>
      <c r="B27" s="125">
        <v>48098106</v>
      </c>
      <c r="C27" s="125" t="s">
        <v>141</v>
      </c>
      <c r="D27" s="131">
        <v>43544</v>
      </c>
      <c r="E27" s="131">
        <v>43544</v>
      </c>
      <c r="F27" s="125">
        <v>1</v>
      </c>
      <c r="G27" s="125" t="s">
        <v>174</v>
      </c>
      <c r="H27" s="125">
        <v>100</v>
      </c>
      <c r="I27" s="125" t="s">
        <v>216</v>
      </c>
    </row>
    <row r="28" spans="1:9" x14ac:dyDescent="0.2">
      <c r="A28" s="125">
        <v>5429</v>
      </c>
      <c r="B28" s="125">
        <v>48098163</v>
      </c>
      <c r="C28" s="125" t="s">
        <v>156</v>
      </c>
      <c r="D28" s="131">
        <v>43518</v>
      </c>
      <c r="E28" s="131">
        <v>43519</v>
      </c>
      <c r="F28" s="125">
        <v>2</v>
      </c>
      <c r="G28" s="125" t="s">
        <v>174</v>
      </c>
      <c r="H28" s="125">
        <v>100</v>
      </c>
      <c r="I28" s="125" t="s">
        <v>217</v>
      </c>
    </row>
    <row r="29" spans="1:9" x14ac:dyDescent="0.2">
      <c r="A29" s="125">
        <v>5551</v>
      </c>
      <c r="B29" s="125">
        <v>48098315</v>
      </c>
      <c r="C29" s="125" t="s">
        <v>218</v>
      </c>
      <c r="D29" s="131">
        <v>43520</v>
      </c>
      <c r="E29" s="131">
        <v>43521</v>
      </c>
      <c r="F29" s="125">
        <v>2</v>
      </c>
      <c r="G29" s="125" t="s">
        <v>174</v>
      </c>
      <c r="H29" s="125">
        <v>100</v>
      </c>
      <c r="I29" s="125" t="s">
        <v>219</v>
      </c>
    </row>
    <row r="30" spans="1:9" x14ac:dyDescent="0.2">
      <c r="A30" s="125">
        <v>5671</v>
      </c>
      <c r="B30" s="125">
        <v>48098467</v>
      </c>
      <c r="C30" s="125" t="s">
        <v>157</v>
      </c>
      <c r="D30" s="131">
        <v>43522</v>
      </c>
      <c r="E30" s="131">
        <v>43523</v>
      </c>
      <c r="F30" s="125">
        <v>2</v>
      </c>
      <c r="G30" s="125" t="s">
        <v>174</v>
      </c>
      <c r="H30" s="125">
        <v>100</v>
      </c>
      <c r="I30" s="125" t="s">
        <v>220</v>
      </c>
    </row>
    <row r="31" spans="1:9" x14ac:dyDescent="0.2">
      <c r="A31" s="125">
        <v>5782</v>
      </c>
      <c r="B31" s="125">
        <v>48098619</v>
      </c>
      <c r="C31" s="125" t="s">
        <v>158</v>
      </c>
      <c r="D31" s="131">
        <v>43524</v>
      </c>
      <c r="E31" s="131">
        <v>43525</v>
      </c>
      <c r="F31" s="125">
        <v>2</v>
      </c>
      <c r="G31" s="125" t="s">
        <v>174</v>
      </c>
      <c r="H31" s="125">
        <v>100</v>
      </c>
      <c r="I31" s="125" t="s">
        <v>221</v>
      </c>
    </row>
    <row r="32" spans="1:9" x14ac:dyDescent="0.2">
      <c r="A32" s="125">
        <v>8296</v>
      </c>
      <c r="B32" s="125">
        <v>48098744</v>
      </c>
      <c r="C32" s="125" t="s">
        <v>142</v>
      </c>
      <c r="D32" s="131">
        <v>43543</v>
      </c>
      <c r="E32" s="131">
        <v>43544</v>
      </c>
      <c r="F32" s="125">
        <v>2</v>
      </c>
      <c r="G32" s="125" t="s">
        <v>174</v>
      </c>
      <c r="H32" s="125">
        <v>100</v>
      </c>
      <c r="I32" s="125" t="s">
        <v>222</v>
      </c>
    </row>
    <row r="33" spans="1:9" x14ac:dyDescent="0.2">
      <c r="A33" s="125">
        <v>8454</v>
      </c>
      <c r="B33" s="125">
        <v>48098896</v>
      </c>
      <c r="C33" s="125" t="s">
        <v>143</v>
      </c>
      <c r="D33" s="131">
        <v>43544</v>
      </c>
      <c r="E33" s="131">
        <v>43544</v>
      </c>
      <c r="F33" s="125">
        <v>1</v>
      </c>
      <c r="G33" s="125" t="s">
        <v>174</v>
      </c>
      <c r="H33" s="125">
        <v>100</v>
      </c>
      <c r="I33" s="125" t="s">
        <v>223</v>
      </c>
    </row>
    <row r="34" spans="1:9" x14ac:dyDescent="0.2">
      <c r="A34" s="125">
        <v>8476</v>
      </c>
      <c r="B34" s="125">
        <v>48099048</v>
      </c>
      <c r="C34" s="125" t="s">
        <v>144</v>
      </c>
      <c r="D34" s="131">
        <v>43543</v>
      </c>
      <c r="E34" s="131">
        <v>43544</v>
      </c>
      <c r="F34" s="125">
        <v>2</v>
      </c>
      <c r="G34" s="125" t="s">
        <v>174</v>
      </c>
      <c r="H34" s="125">
        <v>100</v>
      </c>
      <c r="I34" s="125" t="s">
        <v>224</v>
      </c>
    </row>
    <row r="35" spans="1:9" x14ac:dyDescent="0.2">
      <c r="A35" s="125">
        <v>8632</v>
      </c>
      <c r="B35" s="125">
        <v>48099200</v>
      </c>
      <c r="C35" s="125" t="s">
        <v>145</v>
      </c>
      <c r="D35" s="131">
        <v>43544</v>
      </c>
      <c r="E35" s="131">
        <v>43544</v>
      </c>
      <c r="F35" s="125">
        <v>1</v>
      </c>
      <c r="G35" s="125" t="s">
        <v>174</v>
      </c>
      <c r="H35" s="125">
        <v>100</v>
      </c>
      <c r="I35" s="125" t="s">
        <v>225</v>
      </c>
    </row>
    <row r="36" spans="1:9" x14ac:dyDescent="0.2">
      <c r="A36" s="125">
        <v>5894</v>
      </c>
      <c r="B36" s="125">
        <v>48099464</v>
      </c>
      <c r="C36" s="125" t="s">
        <v>159</v>
      </c>
      <c r="D36" s="131">
        <v>43526</v>
      </c>
      <c r="E36" s="131">
        <v>43527</v>
      </c>
      <c r="F36" s="125">
        <v>2</v>
      </c>
      <c r="G36" s="125" t="s">
        <v>174</v>
      </c>
      <c r="H36" s="125">
        <v>100</v>
      </c>
      <c r="I36" s="125" t="s">
        <v>226</v>
      </c>
    </row>
    <row r="37" spans="1:9" x14ac:dyDescent="0.2">
      <c r="A37" s="125">
        <v>6002</v>
      </c>
      <c r="B37" s="125">
        <v>48099616</v>
      </c>
      <c r="C37" s="125" t="s">
        <v>227</v>
      </c>
      <c r="D37" s="131">
        <v>43528</v>
      </c>
      <c r="E37" s="131">
        <v>43528</v>
      </c>
      <c r="F37" s="125">
        <v>1</v>
      </c>
      <c r="G37" s="125" t="s">
        <v>174</v>
      </c>
      <c r="H37" s="125">
        <v>100</v>
      </c>
      <c r="I37" s="125" t="s">
        <v>228</v>
      </c>
    </row>
    <row r="38" spans="1:9" x14ac:dyDescent="0.2">
      <c r="A38" s="125">
        <v>6057</v>
      </c>
      <c r="B38" s="125">
        <v>48099768</v>
      </c>
      <c r="C38" s="125" t="s">
        <v>160</v>
      </c>
      <c r="D38" s="131">
        <v>43529</v>
      </c>
      <c r="E38" s="131">
        <v>43529</v>
      </c>
      <c r="F38" s="125">
        <v>1</v>
      </c>
      <c r="G38" s="125" t="s">
        <v>174</v>
      </c>
      <c r="H38" s="125">
        <v>100</v>
      </c>
      <c r="I38" s="125" t="s">
        <v>229</v>
      </c>
    </row>
    <row r="39" spans="1:9" x14ac:dyDescent="0.2">
      <c r="A39" s="125">
        <v>6201</v>
      </c>
      <c r="B39" s="125">
        <v>48099934</v>
      </c>
      <c r="C39" s="125" t="s">
        <v>230</v>
      </c>
      <c r="D39" s="131">
        <v>43530</v>
      </c>
      <c r="E39" s="131">
        <v>43530</v>
      </c>
      <c r="F39" s="125">
        <v>1</v>
      </c>
      <c r="G39" s="125" t="s">
        <v>174</v>
      </c>
      <c r="H39" s="125">
        <v>100</v>
      </c>
      <c r="I39" s="125" t="s">
        <v>231</v>
      </c>
    </row>
    <row r="40" spans="1:9" x14ac:dyDescent="0.2">
      <c r="A40" s="125">
        <v>6257</v>
      </c>
      <c r="B40" s="125">
        <v>48100086</v>
      </c>
      <c r="C40" s="125" t="s">
        <v>43</v>
      </c>
      <c r="D40" s="131">
        <v>43531</v>
      </c>
      <c r="E40" s="131">
        <v>43532</v>
      </c>
      <c r="F40" s="125">
        <v>2</v>
      </c>
      <c r="G40" s="125" t="s">
        <v>174</v>
      </c>
      <c r="H40" s="125">
        <v>100</v>
      </c>
      <c r="I40" s="125" t="s">
        <v>232</v>
      </c>
    </row>
    <row r="41" spans="1:9" x14ac:dyDescent="0.2">
      <c r="A41" s="125">
        <v>6366</v>
      </c>
      <c r="B41" s="125">
        <v>48100238</v>
      </c>
      <c r="C41" s="125" t="s">
        <v>127</v>
      </c>
      <c r="D41" s="131">
        <v>43533</v>
      </c>
      <c r="E41" s="131">
        <v>43533</v>
      </c>
      <c r="F41" s="125">
        <v>1</v>
      </c>
      <c r="G41" s="125" t="s">
        <v>174</v>
      </c>
      <c r="H41" s="125">
        <v>100</v>
      </c>
      <c r="I41" s="125" t="s">
        <v>233</v>
      </c>
    </row>
    <row r="42" spans="1:9" x14ac:dyDescent="0.2">
      <c r="A42" s="125">
        <v>6504</v>
      </c>
      <c r="B42" s="125">
        <v>48100390</v>
      </c>
      <c r="C42" s="125" t="s">
        <v>234</v>
      </c>
      <c r="D42" s="131">
        <v>43534</v>
      </c>
      <c r="E42" s="131">
        <v>43534</v>
      </c>
      <c r="F42" s="125">
        <v>1</v>
      </c>
      <c r="G42" s="125" t="s">
        <v>174</v>
      </c>
      <c r="H42" s="125">
        <v>100</v>
      </c>
      <c r="I42" s="125" t="s">
        <v>235</v>
      </c>
    </row>
    <row r="43" spans="1:9" x14ac:dyDescent="0.2">
      <c r="A43" s="125">
        <v>6559</v>
      </c>
      <c r="B43" s="125">
        <v>48100542</v>
      </c>
      <c r="C43" s="125" t="s">
        <v>161</v>
      </c>
      <c r="D43" s="131">
        <v>43535</v>
      </c>
      <c r="E43" s="131">
        <v>43535</v>
      </c>
      <c r="F43" s="125">
        <v>1</v>
      </c>
      <c r="G43" s="125" t="s">
        <v>174</v>
      </c>
      <c r="H43" s="125">
        <v>100</v>
      </c>
      <c r="I43" s="125" t="s">
        <v>236</v>
      </c>
    </row>
    <row r="44" spans="1:9" x14ac:dyDescent="0.2">
      <c r="A44" s="125">
        <v>6693</v>
      </c>
      <c r="B44" s="125">
        <v>48100694</v>
      </c>
      <c r="C44" s="125" t="s">
        <v>237</v>
      </c>
      <c r="D44" s="131">
        <v>43536</v>
      </c>
      <c r="E44" s="131">
        <v>43536</v>
      </c>
      <c r="F44" s="125">
        <v>1</v>
      </c>
      <c r="G44" s="125" t="s">
        <v>174</v>
      </c>
      <c r="H44" s="125">
        <v>100</v>
      </c>
      <c r="I44" s="125" t="s">
        <v>238</v>
      </c>
    </row>
    <row r="45" spans="1:9" x14ac:dyDescent="0.2">
      <c r="A45" s="125">
        <v>6746</v>
      </c>
      <c r="B45" s="125">
        <v>48100846</v>
      </c>
      <c r="C45" s="125" t="s">
        <v>239</v>
      </c>
      <c r="D45" s="131">
        <v>43537</v>
      </c>
      <c r="E45" s="131">
        <v>43537</v>
      </c>
      <c r="F45" s="125">
        <v>1</v>
      </c>
      <c r="G45" s="125" t="s">
        <v>174</v>
      </c>
      <c r="H45" s="125">
        <v>100</v>
      </c>
      <c r="I45" s="125" t="s">
        <v>240</v>
      </c>
    </row>
    <row r="46" spans="1:9" x14ac:dyDescent="0.2">
      <c r="A46" s="125">
        <v>6882</v>
      </c>
      <c r="B46" s="125">
        <v>48100998</v>
      </c>
      <c r="C46" s="125" t="s">
        <v>129</v>
      </c>
      <c r="D46" s="131">
        <v>43538</v>
      </c>
      <c r="E46" s="131">
        <v>43538</v>
      </c>
      <c r="F46" s="125">
        <v>1</v>
      </c>
      <c r="G46" s="125" t="s">
        <v>174</v>
      </c>
      <c r="H46" s="125">
        <v>100</v>
      </c>
      <c r="I46" s="125" t="s">
        <v>241</v>
      </c>
    </row>
    <row r="47" spans="1:9" x14ac:dyDescent="0.2">
      <c r="A47" s="125">
        <v>8645</v>
      </c>
      <c r="B47" s="125">
        <v>54781747</v>
      </c>
      <c r="C47" s="125" t="s">
        <v>115</v>
      </c>
      <c r="D47" s="131">
        <v>43544</v>
      </c>
      <c r="E47" s="131">
        <v>43544</v>
      </c>
      <c r="F47" s="125">
        <v>1</v>
      </c>
      <c r="G47" s="125" t="s">
        <v>174</v>
      </c>
      <c r="H47" s="125">
        <v>0</v>
      </c>
    </row>
    <row r="48" spans="1:9" x14ac:dyDescent="0.2">
      <c r="A48" s="125">
        <v>8645</v>
      </c>
      <c r="B48" s="125">
        <v>54781748</v>
      </c>
      <c r="C48" s="125" t="s">
        <v>167</v>
      </c>
      <c r="D48" s="131">
        <v>43544</v>
      </c>
      <c r="E48" s="131">
        <v>43544</v>
      </c>
      <c r="F48" s="125">
        <v>1</v>
      </c>
      <c r="G48" s="125" t="s">
        <v>174</v>
      </c>
      <c r="H48" s="125">
        <v>100</v>
      </c>
    </row>
    <row r="49" spans="1:9" x14ac:dyDescent="0.2">
      <c r="A49" s="125">
        <v>8645</v>
      </c>
      <c r="B49" s="125">
        <v>54781749</v>
      </c>
      <c r="C49" s="125" t="s">
        <v>171</v>
      </c>
      <c r="D49" s="131">
        <v>43544</v>
      </c>
      <c r="E49" s="131">
        <v>43544</v>
      </c>
      <c r="F49" s="125">
        <v>1</v>
      </c>
      <c r="G49" s="125" t="s">
        <v>174</v>
      </c>
      <c r="H49" s="125">
        <v>0</v>
      </c>
    </row>
    <row r="50" spans="1:9" x14ac:dyDescent="0.2">
      <c r="A50" s="125">
        <v>8645</v>
      </c>
      <c r="B50" s="125">
        <v>54781750</v>
      </c>
      <c r="C50" s="125" t="s">
        <v>116</v>
      </c>
      <c r="D50" s="131">
        <v>43544</v>
      </c>
      <c r="E50" s="131">
        <v>43544</v>
      </c>
      <c r="F50" s="125">
        <v>1</v>
      </c>
      <c r="G50" s="125" t="s">
        <v>174</v>
      </c>
      <c r="H50" s="125">
        <v>100</v>
      </c>
    </row>
    <row r="51" spans="1:9" x14ac:dyDescent="0.2">
      <c r="A51" s="125">
        <v>8645</v>
      </c>
      <c r="B51" s="125">
        <v>54781751</v>
      </c>
      <c r="C51" s="125" t="s">
        <v>119</v>
      </c>
      <c r="D51" s="131">
        <v>43544</v>
      </c>
      <c r="E51" s="131">
        <v>43544</v>
      </c>
      <c r="F51" s="125">
        <v>1</v>
      </c>
      <c r="G51" s="125" t="s">
        <v>174</v>
      </c>
      <c r="H51" s="125">
        <v>0</v>
      </c>
    </row>
    <row r="52" spans="1:9" x14ac:dyDescent="0.2">
      <c r="A52" s="125">
        <v>8645</v>
      </c>
      <c r="B52" s="125">
        <v>54781752</v>
      </c>
      <c r="C52" s="125" t="s">
        <v>117</v>
      </c>
      <c r="D52" s="131">
        <v>43544</v>
      </c>
      <c r="E52" s="131">
        <v>43544</v>
      </c>
      <c r="F52" s="125">
        <v>1</v>
      </c>
      <c r="G52" s="125" t="s">
        <v>174</v>
      </c>
      <c r="H52" s="125">
        <v>50</v>
      </c>
    </row>
    <row r="53" spans="1:9" x14ac:dyDescent="0.2">
      <c r="A53" s="125">
        <v>8645</v>
      </c>
      <c r="B53" s="125">
        <v>54781753</v>
      </c>
      <c r="C53" s="125" t="s">
        <v>113</v>
      </c>
      <c r="D53" s="131">
        <v>43544</v>
      </c>
      <c r="E53" s="131">
        <v>43544</v>
      </c>
      <c r="F53" s="125">
        <v>1</v>
      </c>
      <c r="G53" s="125" t="s">
        <v>174</v>
      </c>
      <c r="H53" s="125">
        <v>0</v>
      </c>
    </row>
    <row r="54" spans="1:9" x14ac:dyDescent="0.2">
      <c r="A54" s="125">
        <v>8645</v>
      </c>
      <c r="B54" s="125">
        <v>54781754</v>
      </c>
      <c r="C54" s="125" t="s">
        <v>120</v>
      </c>
      <c r="D54" s="131">
        <v>43544</v>
      </c>
      <c r="E54" s="131">
        <v>43544</v>
      </c>
      <c r="F54" s="125">
        <v>1</v>
      </c>
      <c r="G54" s="125" t="s">
        <v>174</v>
      </c>
      <c r="H54" s="125">
        <v>50</v>
      </c>
    </row>
    <row r="55" spans="1:9" x14ac:dyDescent="0.2">
      <c r="A55" s="125">
        <v>2695</v>
      </c>
      <c r="B55" s="125">
        <v>48094203</v>
      </c>
      <c r="C55" s="125" t="s">
        <v>34</v>
      </c>
      <c r="D55" s="131">
        <v>43496</v>
      </c>
      <c r="E55" s="131">
        <v>43499</v>
      </c>
      <c r="F55" s="125">
        <v>4</v>
      </c>
      <c r="G55" s="125" t="s">
        <v>174</v>
      </c>
      <c r="H55" s="125">
        <v>100</v>
      </c>
    </row>
    <row r="56" spans="1:9" x14ac:dyDescent="0.2">
      <c r="A56" s="125">
        <v>4824</v>
      </c>
      <c r="B56" s="125">
        <v>48094452</v>
      </c>
      <c r="C56" s="125" t="s">
        <v>190</v>
      </c>
      <c r="D56" s="131">
        <v>43513</v>
      </c>
      <c r="E56" s="131">
        <v>43513</v>
      </c>
      <c r="F56" s="125">
        <v>1</v>
      </c>
      <c r="G56" s="125" t="s">
        <v>174</v>
      </c>
      <c r="H56" s="125">
        <v>100</v>
      </c>
      <c r="I56" s="125" t="s">
        <v>242</v>
      </c>
    </row>
    <row r="57" spans="1:9" x14ac:dyDescent="0.2">
      <c r="A57" s="125">
        <v>5014</v>
      </c>
      <c r="B57" s="125">
        <v>48094604</v>
      </c>
      <c r="C57" s="125" t="s">
        <v>39</v>
      </c>
      <c r="D57" s="131">
        <v>43514</v>
      </c>
      <c r="E57" s="131">
        <v>43514</v>
      </c>
      <c r="F57" s="125">
        <v>1</v>
      </c>
      <c r="G57" s="125" t="s">
        <v>174</v>
      </c>
      <c r="H57" s="125">
        <v>100</v>
      </c>
      <c r="I57" s="125" t="s">
        <v>243</v>
      </c>
    </row>
    <row r="58" spans="1:9" x14ac:dyDescent="0.2">
      <c r="A58" s="125">
        <v>5047</v>
      </c>
      <c r="B58" s="125">
        <v>48094756</v>
      </c>
      <c r="C58" s="125" t="s">
        <v>40</v>
      </c>
      <c r="D58" s="131">
        <v>43515</v>
      </c>
      <c r="E58" s="131">
        <v>43515</v>
      </c>
      <c r="F58" s="125">
        <v>1</v>
      </c>
      <c r="G58" s="125" t="s">
        <v>174</v>
      </c>
      <c r="H58" s="125">
        <v>100</v>
      </c>
      <c r="I58" s="125" t="s">
        <v>244</v>
      </c>
    </row>
    <row r="59" spans="1:9" x14ac:dyDescent="0.2">
      <c r="A59" s="125">
        <v>7482</v>
      </c>
      <c r="B59" s="125">
        <v>48094809</v>
      </c>
      <c r="C59" s="125" t="s">
        <v>163</v>
      </c>
      <c r="D59" s="131">
        <v>43547</v>
      </c>
      <c r="E59" s="131">
        <v>43547</v>
      </c>
      <c r="F59" s="125">
        <v>1</v>
      </c>
      <c r="G59" s="125" t="s">
        <v>174</v>
      </c>
      <c r="H59" s="125">
        <v>100</v>
      </c>
      <c r="I59" s="125" t="s">
        <v>245</v>
      </c>
    </row>
    <row r="60" spans="1:9" x14ac:dyDescent="0.2">
      <c r="A60" s="125">
        <v>7640</v>
      </c>
      <c r="B60" s="125">
        <v>48094961</v>
      </c>
      <c r="C60" s="125" t="s">
        <v>136</v>
      </c>
      <c r="D60" s="131">
        <v>43548</v>
      </c>
      <c r="E60" s="131">
        <v>43548</v>
      </c>
      <c r="F60" s="125">
        <v>1</v>
      </c>
      <c r="G60" s="125" t="s">
        <v>174</v>
      </c>
      <c r="H60" s="125">
        <v>100</v>
      </c>
      <c r="I60" s="125" t="s">
        <v>246</v>
      </c>
    </row>
    <row r="61" spans="1:9" x14ac:dyDescent="0.2">
      <c r="A61" s="125">
        <v>7666</v>
      </c>
      <c r="B61" s="125">
        <v>48095113</v>
      </c>
      <c r="C61" s="125" t="s">
        <v>137</v>
      </c>
      <c r="D61" s="131">
        <v>43548</v>
      </c>
      <c r="E61" s="131">
        <v>43548</v>
      </c>
      <c r="F61" s="125">
        <v>1</v>
      </c>
      <c r="G61" s="125" t="s">
        <v>174</v>
      </c>
      <c r="H61" s="125">
        <v>100</v>
      </c>
      <c r="I61" s="125" t="s">
        <v>247</v>
      </c>
    </row>
    <row r="62" spans="1:9" x14ac:dyDescent="0.2">
      <c r="A62" s="125">
        <v>7821</v>
      </c>
      <c r="B62" s="125">
        <v>48095265</v>
      </c>
      <c r="C62" s="125" t="s">
        <v>138</v>
      </c>
      <c r="D62" s="131">
        <v>43547</v>
      </c>
      <c r="E62" s="131">
        <v>43548</v>
      </c>
      <c r="F62" s="125">
        <v>2</v>
      </c>
      <c r="G62" s="125" t="s">
        <v>174</v>
      </c>
      <c r="H62" s="125">
        <v>100</v>
      </c>
      <c r="I62" s="125" t="s">
        <v>248</v>
      </c>
    </row>
    <row r="63" spans="1:9" x14ac:dyDescent="0.2">
      <c r="A63" s="125">
        <v>7909</v>
      </c>
      <c r="B63" s="125">
        <v>48095417</v>
      </c>
      <c r="C63" s="125" t="s">
        <v>139</v>
      </c>
      <c r="D63" s="131">
        <v>43547</v>
      </c>
      <c r="E63" s="131">
        <v>43548</v>
      </c>
      <c r="F63" s="125">
        <v>2</v>
      </c>
      <c r="G63" s="125" t="s">
        <v>174</v>
      </c>
      <c r="H63" s="125">
        <v>100</v>
      </c>
      <c r="I63" s="125" t="s">
        <v>249</v>
      </c>
    </row>
    <row r="64" spans="1:9" x14ac:dyDescent="0.2">
      <c r="A64" s="125">
        <v>4672</v>
      </c>
      <c r="B64" s="125">
        <v>48095534</v>
      </c>
      <c r="C64" s="125" t="s">
        <v>38</v>
      </c>
      <c r="D64" s="131">
        <v>43511</v>
      </c>
      <c r="E64" s="131">
        <v>43512</v>
      </c>
      <c r="F64" s="125">
        <v>2</v>
      </c>
      <c r="G64" s="125" t="s">
        <v>174</v>
      </c>
      <c r="H64" s="125">
        <v>100</v>
      </c>
      <c r="I64" s="125" t="s">
        <v>250</v>
      </c>
    </row>
    <row r="65" spans="1:9" x14ac:dyDescent="0.2">
      <c r="A65" s="125">
        <v>3826</v>
      </c>
      <c r="B65" s="125">
        <v>48095686</v>
      </c>
      <c r="C65" s="125" t="s">
        <v>36</v>
      </c>
      <c r="D65" s="131">
        <v>43502</v>
      </c>
      <c r="E65" s="131">
        <v>43505</v>
      </c>
      <c r="F65" s="125">
        <v>4</v>
      </c>
      <c r="G65" s="125" t="s">
        <v>174</v>
      </c>
      <c r="H65" s="125">
        <v>100</v>
      </c>
      <c r="I65" s="125" t="s">
        <v>251</v>
      </c>
    </row>
    <row r="66" spans="1:9" x14ac:dyDescent="0.2">
      <c r="A66" s="125">
        <v>4117</v>
      </c>
      <c r="B66" s="125">
        <v>48095838</v>
      </c>
      <c r="C66" s="125" t="s">
        <v>201</v>
      </c>
      <c r="D66" s="131">
        <v>43506</v>
      </c>
      <c r="E66" s="131">
        <v>43506</v>
      </c>
      <c r="F66" s="125">
        <v>1</v>
      </c>
      <c r="G66" s="125" t="s">
        <v>174</v>
      </c>
      <c r="H66" s="125">
        <v>100</v>
      </c>
      <c r="I66" s="125" t="s">
        <v>252</v>
      </c>
    </row>
    <row r="67" spans="1:9" x14ac:dyDescent="0.2">
      <c r="A67" s="125">
        <v>6918</v>
      </c>
      <c r="B67" s="125">
        <v>48096049</v>
      </c>
      <c r="C67" s="125" t="s">
        <v>130</v>
      </c>
      <c r="D67" s="131">
        <v>43539</v>
      </c>
      <c r="E67" s="131">
        <v>43539</v>
      </c>
      <c r="F67" s="125">
        <v>1</v>
      </c>
      <c r="G67" s="125" t="s">
        <v>174</v>
      </c>
      <c r="H67" s="125">
        <v>100</v>
      </c>
      <c r="I67" s="125" t="s">
        <v>253</v>
      </c>
    </row>
    <row r="68" spans="1:9" x14ac:dyDescent="0.2">
      <c r="A68" s="125">
        <v>7083</v>
      </c>
      <c r="B68" s="125">
        <v>48096201</v>
      </c>
      <c r="C68" s="125" t="s">
        <v>131</v>
      </c>
      <c r="D68" s="131">
        <v>43540</v>
      </c>
      <c r="E68" s="131">
        <v>43540</v>
      </c>
      <c r="F68" s="125">
        <v>1</v>
      </c>
      <c r="G68" s="125" t="s">
        <v>174</v>
      </c>
      <c r="H68" s="125">
        <v>100</v>
      </c>
      <c r="I68" s="125" t="s">
        <v>254</v>
      </c>
    </row>
    <row r="69" spans="1:9" x14ac:dyDescent="0.2">
      <c r="A69" s="125">
        <v>7105</v>
      </c>
      <c r="B69" s="125">
        <v>48096353</v>
      </c>
      <c r="C69" s="125" t="s">
        <v>162</v>
      </c>
      <c r="D69" s="131">
        <v>43541</v>
      </c>
      <c r="E69" s="131">
        <v>43542</v>
      </c>
      <c r="F69" s="125">
        <v>2</v>
      </c>
      <c r="G69" s="125" t="s">
        <v>174</v>
      </c>
      <c r="H69" s="125">
        <v>100</v>
      </c>
      <c r="I69" s="125" t="s">
        <v>255</v>
      </c>
    </row>
    <row r="70" spans="1:9" x14ac:dyDescent="0.2">
      <c r="A70" s="125">
        <v>4196</v>
      </c>
      <c r="B70" s="125">
        <v>48096516</v>
      </c>
      <c r="C70" s="125" t="s">
        <v>37</v>
      </c>
      <c r="D70" s="131">
        <v>43507</v>
      </c>
      <c r="E70" s="131">
        <v>43547</v>
      </c>
      <c r="F70" s="125">
        <v>41</v>
      </c>
      <c r="G70" s="125" t="s">
        <v>174</v>
      </c>
      <c r="H70" s="125">
        <v>100</v>
      </c>
      <c r="I70" s="125" t="s">
        <v>256</v>
      </c>
    </row>
    <row r="71" spans="1:9" x14ac:dyDescent="0.2">
      <c r="A71" s="125">
        <v>3367</v>
      </c>
      <c r="B71" s="125">
        <v>48096668</v>
      </c>
      <c r="C71" s="125" t="s">
        <v>35</v>
      </c>
      <c r="D71" s="131">
        <v>43500</v>
      </c>
      <c r="E71" s="131">
        <v>43501</v>
      </c>
      <c r="F71" s="125">
        <v>2</v>
      </c>
      <c r="G71" s="125" t="s">
        <v>174</v>
      </c>
      <c r="H71" s="125">
        <v>100</v>
      </c>
      <c r="I71" s="125" t="s">
        <v>257</v>
      </c>
    </row>
    <row r="72" spans="1:9" x14ac:dyDescent="0.2">
      <c r="A72" s="125">
        <v>7200</v>
      </c>
      <c r="B72" s="125">
        <v>48096732</v>
      </c>
      <c r="C72" s="125" t="s">
        <v>132</v>
      </c>
      <c r="D72" s="131">
        <v>43543</v>
      </c>
      <c r="E72" s="131">
        <v>43544</v>
      </c>
      <c r="F72" s="125">
        <v>2</v>
      </c>
      <c r="G72" s="125" t="s">
        <v>174</v>
      </c>
      <c r="H72" s="125">
        <v>100</v>
      </c>
      <c r="I72" s="125" t="s">
        <v>258</v>
      </c>
    </row>
    <row r="73" spans="1:9" x14ac:dyDescent="0.2">
      <c r="A73" s="125">
        <v>7297</v>
      </c>
      <c r="B73" s="125">
        <v>48096884</v>
      </c>
      <c r="C73" s="125" t="s">
        <v>133</v>
      </c>
      <c r="D73" s="131">
        <v>43545</v>
      </c>
      <c r="E73" s="131">
        <v>43545</v>
      </c>
      <c r="F73" s="125">
        <v>1</v>
      </c>
      <c r="G73" s="125" t="s">
        <v>174</v>
      </c>
      <c r="H73" s="125">
        <v>100</v>
      </c>
      <c r="I73" s="125" t="s">
        <v>259</v>
      </c>
    </row>
    <row r="74" spans="1:9" x14ac:dyDescent="0.2">
      <c r="A74" s="125">
        <v>7458</v>
      </c>
      <c r="B74" s="125">
        <v>48097036</v>
      </c>
      <c r="C74" s="125" t="s">
        <v>134</v>
      </c>
      <c r="D74" s="131">
        <v>43546</v>
      </c>
      <c r="E74" s="131">
        <v>43546</v>
      </c>
      <c r="F74" s="125">
        <v>1</v>
      </c>
      <c r="G74" s="125" t="s">
        <v>174</v>
      </c>
      <c r="H74" s="125">
        <v>100</v>
      </c>
      <c r="I74" s="125" t="s">
        <v>260</v>
      </c>
    </row>
    <row r="75" spans="1:9" x14ac:dyDescent="0.2">
      <c r="A75" s="125">
        <v>5230</v>
      </c>
      <c r="B75" s="125">
        <v>48097287</v>
      </c>
      <c r="C75" s="125" t="s">
        <v>41</v>
      </c>
      <c r="D75" s="131">
        <v>43516</v>
      </c>
      <c r="E75" s="131">
        <v>43516</v>
      </c>
      <c r="F75" s="125">
        <v>1</v>
      </c>
      <c r="G75" s="125" t="s">
        <v>174</v>
      </c>
      <c r="H75" s="125">
        <v>100</v>
      </c>
      <c r="I75" s="125" t="s">
        <v>261</v>
      </c>
    </row>
    <row r="76" spans="1:9" x14ac:dyDescent="0.2">
      <c r="A76" s="125">
        <v>5262</v>
      </c>
      <c r="B76" s="125">
        <v>48097439</v>
      </c>
      <c r="C76" s="125" t="s">
        <v>42</v>
      </c>
      <c r="D76" s="131">
        <v>43517</v>
      </c>
      <c r="E76" s="131">
        <v>43517</v>
      </c>
      <c r="F76" s="125">
        <v>1</v>
      </c>
      <c r="G76" s="125" t="s">
        <v>174</v>
      </c>
      <c r="H76" s="125">
        <v>100</v>
      </c>
      <c r="I76" s="125" t="s">
        <v>262</v>
      </c>
    </row>
    <row r="77" spans="1:9" x14ac:dyDescent="0.2">
      <c r="A77" s="125">
        <v>8003</v>
      </c>
      <c r="B77" s="125">
        <v>48097646</v>
      </c>
      <c r="C77" s="125" t="s">
        <v>140</v>
      </c>
      <c r="D77" s="131">
        <v>43544</v>
      </c>
      <c r="E77" s="131">
        <v>43544</v>
      </c>
      <c r="F77" s="125">
        <v>1</v>
      </c>
      <c r="G77" s="125" t="s">
        <v>174</v>
      </c>
      <c r="H77" s="125">
        <v>100</v>
      </c>
      <c r="I77" s="125" t="s">
        <v>263</v>
      </c>
    </row>
    <row r="78" spans="1:9" x14ac:dyDescent="0.2">
      <c r="A78" s="125">
        <v>8028</v>
      </c>
      <c r="B78" s="125">
        <v>48097798</v>
      </c>
      <c r="C78" s="125" t="s">
        <v>164</v>
      </c>
      <c r="D78" s="131">
        <v>43545</v>
      </c>
      <c r="E78" s="131">
        <v>43546</v>
      </c>
      <c r="F78" s="125">
        <v>2</v>
      </c>
      <c r="G78" s="125" t="s">
        <v>174</v>
      </c>
      <c r="H78" s="125">
        <v>100</v>
      </c>
      <c r="I78" s="125" t="s">
        <v>264</v>
      </c>
    </row>
    <row r="79" spans="1:9" x14ac:dyDescent="0.2">
      <c r="A79" s="125">
        <v>8182</v>
      </c>
      <c r="B79" s="125">
        <v>48097950</v>
      </c>
      <c r="C79" s="125" t="s">
        <v>165</v>
      </c>
      <c r="D79" s="131">
        <v>43547</v>
      </c>
      <c r="E79" s="131">
        <v>43548</v>
      </c>
      <c r="F79" s="125">
        <v>2</v>
      </c>
      <c r="G79" s="125" t="s">
        <v>174</v>
      </c>
      <c r="H79" s="125">
        <v>100</v>
      </c>
      <c r="I79" s="125" t="s">
        <v>265</v>
      </c>
    </row>
    <row r="80" spans="1:9" x14ac:dyDescent="0.2">
      <c r="A80" s="125">
        <v>8270</v>
      </c>
      <c r="B80" s="125">
        <v>48098102</v>
      </c>
      <c r="C80" s="125" t="s">
        <v>141</v>
      </c>
      <c r="D80" s="131">
        <v>43544</v>
      </c>
      <c r="E80" s="131">
        <v>43544</v>
      </c>
      <c r="F80" s="125">
        <v>1</v>
      </c>
      <c r="G80" s="125" t="s">
        <v>174</v>
      </c>
      <c r="H80" s="125">
        <v>100</v>
      </c>
      <c r="I80" s="125" t="s">
        <v>266</v>
      </c>
    </row>
    <row r="81" spans="1:9" x14ac:dyDescent="0.2">
      <c r="A81" s="125">
        <v>5444</v>
      </c>
      <c r="B81" s="125">
        <v>48098159</v>
      </c>
      <c r="C81" s="125" t="s">
        <v>156</v>
      </c>
      <c r="D81" s="131">
        <v>43518</v>
      </c>
      <c r="E81" s="131">
        <v>43519</v>
      </c>
      <c r="F81" s="125">
        <v>2</v>
      </c>
      <c r="G81" s="125" t="s">
        <v>174</v>
      </c>
      <c r="H81" s="125">
        <v>100</v>
      </c>
      <c r="I81" s="125" t="s">
        <v>267</v>
      </c>
    </row>
    <row r="82" spans="1:9" x14ac:dyDescent="0.2">
      <c r="A82" s="125">
        <v>5579</v>
      </c>
      <c r="B82" s="125">
        <v>48098311</v>
      </c>
      <c r="C82" s="125" t="s">
        <v>218</v>
      </c>
      <c r="D82" s="131">
        <v>43520</v>
      </c>
      <c r="E82" s="131">
        <v>43521</v>
      </c>
      <c r="F82" s="125">
        <v>2</v>
      </c>
      <c r="G82" s="125" t="s">
        <v>174</v>
      </c>
      <c r="H82" s="125">
        <v>100</v>
      </c>
      <c r="I82" s="125" t="s">
        <v>268</v>
      </c>
    </row>
    <row r="83" spans="1:9" x14ac:dyDescent="0.2">
      <c r="A83" s="125">
        <v>5691</v>
      </c>
      <c r="B83" s="125">
        <v>48098463</v>
      </c>
      <c r="C83" s="125" t="s">
        <v>157</v>
      </c>
      <c r="D83" s="131">
        <v>43522</v>
      </c>
      <c r="E83" s="131">
        <v>43523</v>
      </c>
      <c r="F83" s="125">
        <v>2</v>
      </c>
      <c r="G83" s="125" t="s">
        <v>174</v>
      </c>
      <c r="H83" s="125">
        <v>100</v>
      </c>
      <c r="I83" s="125" t="s">
        <v>269</v>
      </c>
    </row>
    <row r="84" spans="1:9" x14ac:dyDescent="0.2">
      <c r="A84" s="125">
        <v>5810</v>
      </c>
      <c r="B84" s="125">
        <v>48098615</v>
      </c>
      <c r="C84" s="125" t="s">
        <v>158</v>
      </c>
      <c r="D84" s="131">
        <v>43524</v>
      </c>
      <c r="E84" s="131">
        <v>43525</v>
      </c>
      <c r="F84" s="125">
        <v>2</v>
      </c>
      <c r="G84" s="125" t="s">
        <v>174</v>
      </c>
      <c r="H84" s="125">
        <v>100</v>
      </c>
      <c r="I84" s="125" t="s">
        <v>270</v>
      </c>
    </row>
    <row r="85" spans="1:9" x14ac:dyDescent="0.2">
      <c r="A85" s="125">
        <v>8301</v>
      </c>
      <c r="B85" s="125">
        <v>48098740</v>
      </c>
      <c r="C85" s="125" t="s">
        <v>142</v>
      </c>
      <c r="D85" s="131">
        <v>43543</v>
      </c>
      <c r="E85" s="131">
        <v>43544</v>
      </c>
      <c r="F85" s="125">
        <v>2</v>
      </c>
      <c r="G85" s="125" t="s">
        <v>174</v>
      </c>
      <c r="H85" s="125">
        <v>100</v>
      </c>
      <c r="I85" s="125" t="s">
        <v>271</v>
      </c>
    </row>
    <row r="86" spans="1:9" x14ac:dyDescent="0.2">
      <c r="A86" s="125">
        <v>8450</v>
      </c>
      <c r="B86" s="125">
        <v>48098892</v>
      </c>
      <c r="C86" s="125" t="s">
        <v>143</v>
      </c>
      <c r="D86" s="131">
        <v>43544</v>
      </c>
      <c r="E86" s="131">
        <v>43544</v>
      </c>
      <c r="F86" s="125">
        <v>1</v>
      </c>
      <c r="G86" s="125" t="s">
        <v>174</v>
      </c>
      <c r="H86" s="125">
        <v>100</v>
      </c>
      <c r="I86" s="125" t="s">
        <v>272</v>
      </c>
    </row>
    <row r="87" spans="1:9" x14ac:dyDescent="0.2">
      <c r="A87" s="125">
        <v>8481</v>
      </c>
      <c r="B87" s="125">
        <v>48099044</v>
      </c>
      <c r="C87" s="125" t="s">
        <v>144</v>
      </c>
      <c r="D87" s="131">
        <v>43543</v>
      </c>
      <c r="E87" s="131">
        <v>43544</v>
      </c>
      <c r="F87" s="125">
        <v>2</v>
      </c>
      <c r="G87" s="125" t="s">
        <v>174</v>
      </c>
      <c r="H87" s="125">
        <v>100</v>
      </c>
      <c r="I87" s="125" t="s">
        <v>273</v>
      </c>
    </row>
    <row r="88" spans="1:9" x14ac:dyDescent="0.2">
      <c r="A88" s="125">
        <v>8629</v>
      </c>
      <c r="B88" s="125">
        <v>48099196</v>
      </c>
      <c r="C88" s="125" t="s">
        <v>145</v>
      </c>
      <c r="D88" s="131">
        <v>43544</v>
      </c>
      <c r="E88" s="131">
        <v>43544</v>
      </c>
      <c r="F88" s="125">
        <v>1</v>
      </c>
      <c r="G88" s="125" t="s">
        <v>174</v>
      </c>
      <c r="H88" s="125">
        <v>100</v>
      </c>
      <c r="I88" s="125" t="s">
        <v>274</v>
      </c>
    </row>
    <row r="89" spans="1:9" x14ac:dyDescent="0.2">
      <c r="A89" s="125">
        <v>5916</v>
      </c>
      <c r="B89" s="125">
        <v>48099460</v>
      </c>
      <c r="C89" s="125" t="s">
        <v>159</v>
      </c>
      <c r="D89" s="131">
        <v>43526</v>
      </c>
      <c r="E89" s="131">
        <v>43527</v>
      </c>
      <c r="F89" s="125">
        <v>2</v>
      </c>
      <c r="G89" s="125" t="s">
        <v>174</v>
      </c>
      <c r="H89" s="125">
        <v>100</v>
      </c>
      <c r="I89" s="125" t="s">
        <v>275</v>
      </c>
    </row>
    <row r="90" spans="1:9" x14ac:dyDescent="0.2">
      <c r="A90" s="125">
        <v>6021</v>
      </c>
      <c r="B90" s="125">
        <v>48099612</v>
      </c>
      <c r="C90" s="125" t="s">
        <v>227</v>
      </c>
      <c r="D90" s="131">
        <v>43528</v>
      </c>
      <c r="E90" s="131">
        <v>43528</v>
      </c>
      <c r="F90" s="125">
        <v>1</v>
      </c>
      <c r="G90" s="125" t="s">
        <v>174</v>
      </c>
      <c r="H90" s="125">
        <v>100</v>
      </c>
      <c r="I90" s="125" t="s">
        <v>276</v>
      </c>
    </row>
    <row r="91" spans="1:9" x14ac:dyDescent="0.2">
      <c r="A91" s="125">
        <v>6037</v>
      </c>
      <c r="B91" s="125">
        <v>48099764</v>
      </c>
      <c r="C91" s="125" t="s">
        <v>160</v>
      </c>
      <c r="D91" s="131">
        <v>43529</v>
      </c>
      <c r="E91" s="131">
        <v>43529</v>
      </c>
      <c r="F91" s="125">
        <v>1</v>
      </c>
      <c r="G91" s="125" t="s">
        <v>174</v>
      </c>
      <c r="H91" s="125">
        <v>100</v>
      </c>
      <c r="I91" s="125" t="s">
        <v>277</v>
      </c>
    </row>
    <row r="92" spans="1:9" x14ac:dyDescent="0.2">
      <c r="A92" s="125">
        <v>6222</v>
      </c>
      <c r="B92" s="125">
        <v>48099930</v>
      </c>
      <c r="C92" s="125" t="s">
        <v>230</v>
      </c>
      <c r="D92" s="131">
        <v>43530</v>
      </c>
      <c r="E92" s="131">
        <v>43530</v>
      </c>
      <c r="F92" s="125">
        <v>1</v>
      </c>
      <c r="G92" s="125" t="s">
        <v>174</v>
      </c>
      <c r="H92" s="125">
        <v>100</v>
      </c>
      <c r="I92" s="125" t="s">
        <v>278</v>
      </c>
    </row>
    <row r="93" spans="1:9" x14ac:dyDescent="0.2">
      <c r="A93" s="125">
        <v>6238</v>
      </c>
      <c r="B93" s="125">
        <v>48100082</v>
      </c>
      <c r="C93" s="125" t="s">
        <v>43</v>
      </c>
      <c r="D93" s="131">
        <v>43531</v>
      </c>
      <c r="E93" s="131">
        <v>43532</v>
      </c>
      <c r="F93" s="125">
        <v>2</v>
      </c>
      <c r="G93" s="125" t="s">
        <v>174</v>
      </c>
      <c r="H93" s="125">
        <v>100</v>
      </c>
      <c r="I93" s="125" t="s">
        <v>279</v>
      </c>
    </row>
    <row r="94" spans="1:9" x14ac:dyDescent="0.2">
      <c r="A94" s="125">
        <v>6348</v>
      </c>
      <c r="B94" s="125">
        <v>48100234</v>
      </c>
      <c r="C94" s="125" t="s">
        <v>127</v>
      </c>
      <c r="D94" s="131">
        <v>43533</v>
      </c>
      <c r="E94" s="131">
        <v>43533</v>
      </c>
      <c r="F94" s="125">
        <v>1</v>
      </c>
      <c r="G94" s="125" t="s">
        <v>174</v>
      </c>
      <c r="H94" s="125">
        <v>100</v>
      </c>
      <c r="I94" s="125" t="s">
        <v>280</v>
      </c>
    </row>
    <row r="95" spans="1:9" x14ac:dyDescent="0.2">
      <c r="A95" s="125">
        <v>6518</v>
      </c>
      <c r="B95" s="125">
        <v>48100386</v>
      </c>
      <c r="C95" s="125" t="s">
        <v>234</v>
      </c>
      <c r="D95" s="131">
        <v>43534</v>
      </c>
      <c r="E95" s="131">
        <v>43534</v>
      </c>
      <c r="F95" s="125">
        <v>1</v>
      </c>
      <c r="G95" s="125" t="s">
        <v>174</v>
      </c>
      <c r="H95" s="125">
        <v>100</v>
      </c>
      <c r="I95" s="125" t="s">
        <v>281</v>
      </c>
    </row>
    <row r="96" spans="1:9" x14ac:dyDescent="0.2">
      <c r="A96" s="125">
        <v>6545</v>
      </c>
      <c r="B96" s="125">
        <v>48100538</v>
      </c>
      <c r="C96" s="125" t="s">
        <v>161</v>
      </c>
      <c r="D96" s="131">
        <v>43535</v>
      </c>
      <c r="E96" s="131">
        <v>43535</v>
      </c>
      <c r="F96" s="125">
        <v>1</v>
      </c>
      <c r="G96" s="125" t="s">
        <v>174</v>
      </c>
      <c r="H96" s="125">
        <v>100</v>
      </c>
      <c r="I96" s="125" t="s">
        <v>282</v>
      </c>
    </row>
    <row r="97" spans="1:9" x14ac:dyDescent="0.2">
      <c r="A97" s="125">
        <v>6706</v>
      </c>
      <c r="B97" s="125">
        <v>48100690</v>
      </c>
      <c r="C97" s="125" t="s">
        <v>237</v>
      </c>
      <c r="D97" s="131">
        <v>43536</v>
      </c>
      <c r="E97" s="131">
        <v>43536</v>
      </c>
      <c r="F97" s="125">
        <v>1</v>
      </c>
      <c r="G97" s="125" t="s">
        <v>174</v>
      </c>
      <c r="H97" s="125">
        <v>100</v>
      </c>
      <c r="I97" s="125" t="s">
        <v>283</v>
      </c>
    </row>
    <row r="98" spans="1:9" x14ac:dyDescent="0.2">
      <c r="A98" s="125">
        <v>6732</v>
      </c>
      <c r="B98" s="125">
        <v>48100842</v>
      </c>
      <c r="C98" s="125" t="s">
        <v>239</v>
      </c>
      <c r="D98" s="131">
        <v>43537</v>
      </c>
      <c r="E98" s="131">
        <v>43537</v>
      </c>
      <c r="F98" s="125">
        <v>1</v>
      </c>
      <c r="G98" s="125" t="s">
        <v>174</v>
      </c>
      <c r="H98" s="125">
        <v>100</v>
      </c>
      <c r="I98" s="125" t="s">
        <v>284</v>
      </c>
    </row>
    <row r="99" spans="1:9" x14ac:dyDescent="0.2">
      <c r="A99" s="125">
        <v>6894</v>
      </c>
      <c r="B99" s="125">
        <v>48100994</v>
      </c>
      <c r="C99" s="125" t="s">
        <v>129</v>
      </c>
      <c r="D99" s="131">
        <v>43538</v>
      </c>
      <c r="E99" s="131">
        <v>43538</v>
      </c>
      <c r="F99" s="125">
        <v>1</v>
      </c>
      <c r="G99" s="125" t="s">
        <v>174</v>
      </c>
      <c r="H99" s="125">
        <v>100</v>
      </c>
      <c r="I99" s="125" t="s">
        <v>285</v>
      </c>
    </row>
    <row r="100" spans="1:9" x14ac:dyDescent="0.2">
      <c r="A100" s="125">
        <v>8645</v>
      </c>
      <c r="B100" s="125">
        <v>54781755</v>
      </c>
      <c r="C100" s="125" t="s">
        <v>115</v>
      </c>
      <c r="D100" s="131">
        <v>43544</v>
      </c>
      <c r="E100" s="131">
        <v>43544</v>
      </c>
      <c r="F100" s="125">
        <v>1</v>
      </c>
      <c r="G100" s="125" t="s">
        <v>174</v>
      </c>
      <c r="H100" s="125">
        <v>50</v>
      </c>
    </row>
    <row r="101" spans="1:9" x14ac:dyDescent="0.2">
      <c r="A101" s="125">
        <v>8645</v>
      </c>
      <c r="B101" s="125">
        <v>54781756</v>
      </c>
      <c r="C101" s="125" t="s">
        <v>168</v>
      </c>
      <c r="D101" s="131">
        <v>43544</v>
      </c>
      <c r="E101" s="131">
        <v>43544</v>
      </c>
      <c r="F101" s="125">
        <v>1</v>
      </c>
      <c r="G101" s="125" t="s">
        <v>174</v>
      </c>
      <c r="H101" s="125">
        <v>100</v>
      </c>
    </row>
    <row r="102" spans="1:9" x14ac:dyDescent="0.2">
      <c r="A102" s="125">
        <v>8645</v>
      </c>
      <c r="B102" s="125">
        <v>54784009</v>
      </c>
      <c r="C102" s="125" t="s">
        <v>286</v>
      </c>
      <c r="D102" s="131">
        <v>43556</v>
      </c>
      <c r="E102" s="131">
        <v>43556</v>
      </c>
      <c r="F102" s="125">
        <v>1</v>
      </c>
      <c r="G102" s="125" t="s">
        <v>174</v>
      </c>
      <c r="H102" s="125">
        <v>0</v>
      </c>
    </row>
    <row r="103" spans="1:9" x14ac:dyDescent="0.2">
      <c r="A103" s="125">
        <v>8645</v>
      </c>
      <c r="B103" s="125">
        <v>54784012</v>
      </c>
      <c r="C103" s="125" t="s">
        <v>287</v>
      </c>
      <c r="D103" s="131">
        <v>43548</v>
      </c>
      <c r="E103" s="131">
        <v>43548</v>
      </c>
      <c r="F103" s="125">
        <v>1</v>
      </c>
      <c r="G103" s="125" t="s">
        <v>174</v>
      </c>
      <c r="H103" s="125">
        <v>0</v>
      </c>
    </row>
    <row r="104" spans="1:9" x14ac:dyDescent="0.2">
      <c r="A104" s="125">
        <v>8645</v>
      </c>
      <c r="B104" s="125">
        <v>54784021</v>
      </c>
      <c r="C104" s="125" t="s">
        <v>147</v>
      </c>
      <c r="D104" s="131">
        <v>43548</v>
      </c>
      <c r="E104" s="131">
        <v>43548</v>
      </c>
      <c r="F104" s="125">
        <v>1</v>
      </c>
      <c r="G104" s="125" t="s">
        <v>174</v>
      </c>
      <c r="H104" s="125">
        <v>100</v>
      </c>
    </row>
    <row r="105" spans="1:9" x14ac:dyDescent="0.2">
      <c r="A105" s="125">
        <v>8645</v>
      </c>
      <c r="B105" s="125">
        <v>54784022</v>
      </c>
      <c r="C105" s="125" t="s">
        <v>167</v>
      </c>
      <c r="D105" s="131">
        <v>43548</v>
      </c>
      <c r="E105" s="131">
        <v>43548</v>
      </c>
      <c r="F105" s="125">
        <v>1</v>
      </c>
      <c r="G105" s="125" t="s">
        <v>174</v>
      </c>
      <c r="H105" s="125">
        <v>100</v>
      </c>
    </row>
    <row r="106" spans="1:9" x14ac:dyDescent="0.2">
      <c r="A106" s="125">
        <v>8645</v>
      </c>
      <c r="B106" s="125">
        <v>54784024</v>
      </c>
      <c r="C106" s="125" t="s">
        <v>119</v>
      </c>
      <c r="D106" s="131">
        <v>43556</v>
      </c>
      <c r="E106" s="131">
        <v>43556</v>
      </c>
      <c r="F106" s="125">
        <v>1</v>
      </c>
      <c r="G106" s="125" t="s">
        <v>174</v>
      </c>
      <c r="H106" s="125">
        <v>50</v>
      </c>
    </row>
    <row r="107" spans="1:9" x14ac:dyDescent="0.2">
      <c r="A107" s="125">
        <v>8645</v>
      </c>
      <c r="B107" s="125">
        <v>54784027</v>
      </c>
      <c r="C107" s="125" t="s">
        <v>114</v>
      </c>
      <c r="D107" s="131">
        <v>43548</v>
      </c>
      <c r="E107" s="131">
        <v>43548</v>
      </c>
      <c r="F107" s="125">
        <v>1</v>
      </c>
      <c r="G107" s="125" t="s">
        <v>174</v>
      </c>
      <c r="H107" s="125">
        <v>100</v>
      </c>
    </row>
    <row r="108" spans="1:9" x14ac:dyDescent="0.2">
      <c r="A108" s="125">
        <v>8645</v>
      </c>
      <c r="B108" s="125">
        <v>54784031</v>
      </c>
      <c r="C108" s="125" t="s">
        <v>148</v>
      </c>
      <c r="D108" s="131">
        <v>43548</v>
      </c>
      <c r="E108" s="131">
        <v>43548</v>
      </c>
      <c r="F108" s="125">
        <v>1</v>
      </c>
      <c r="G108" s="125" t="s">
        <v>174</v>
      </c>
      <c r="H108" s="125">
        <v>100</v>
      </c>
    </row>
    <row r="109" spans="1:9" x14ac:dyDescent="0.2">
      <c r="A109" s="125">
        <v>8645</v>
      </c>
      <c r="B109" s="125">
        <v>54784035</v>
      </c>
      <c r="C109" s="125" t="s">
        <v>171</v>
      </c>
      <c r="D109" s="131">
        <v>43548</v>
      </c>
      <c r="E109" s="131">
        <v>43548</v>
      </c>
      <c r="F109" s="125">
        <v>1</v>
      </c>
      <c r="G109" s="125" t="s">
        <v>174</v>
      </c>
      <c r="H109" s="125">
        <v>0</v>
      </c>
    </row>
    <row r="110" spans="1:9" x14ac:dyDescent="0.2">
      <c r="A110" s="125">
        <v>8645</v>
      </c>
      <c r="B110" s="125">
        <v>54784047</v>
      </c>
      <c r="C110" s="125" t="s">
        <v>149</v>
      </c>
      <c r="D110" s="131">
        <v>43548</v>
      </c>
      <c r="E110" s="131">
        <v>43548</v>
      </c>
      <c r="F110" s="125">
        <v>1</v>
      </c>
      <c r="G110" s="125" t="s">
        <v>174</v>
      </c>
      <c r="H110" s="125">
        <v>100</v>
      </c>
    </row>
    <row r="111" spans="1:9" x14ac:dyDescent="0.2">
      <c r="A111" s="125">
        <v>8645</v>
      </c>
      <c r="B111" s="125">
        <v>54784067</v>
      </c>
      <c r="C111" s="125" t="s">
        <v>116</v>
      </c>
      <c r="D111" s="131">
        <v>43548</v>
      </c>
      <c r="E111" s="131">
        <v>43548</v>
      </c>
      <c r="F111" s="125">
        <v>1</v>
      </c>
      <c r="G111" s="125" t="s">
        <v>174</v>
      </c>
      <c r="H111" s="125">
        <v>100</v>
      </c>
    </row>
    <row r="112" spans="1:9" x14ac:dyDescent="0.2">
      <c r="A112" s="125">
        <v>8645</v>
      </c>
      <c r="B112" s="125">
        <v>54784068</v>
      </c>
      <c r="C112" s="125" t="s">
        <v>288</v>
      </c>
      <c r="D112" s="131">
        <v>43548</v>
      </c>
      <c r="E112" s="131">
        <v>43548</v>
      </c>
      <c r="F112" s="125">
        <v>1</v>
      </c>
      <c r="G112" s="125" t="s">
        <v>174</v>
      </c>
      <c r="H112" s="125">
        <v>0</v>
      </c>
    </row>
    <row r="113" spans="1:8" x14ac:dyDescent="0.2">
      <c r="A113" s="125">
        <v>8645</v>
      </c>
      <c r="B113" s="125">
        <v>54784069</v>
      </c>
      <c r="C113" s="125" t="s">
        <v>289</v>
      </c>
      <c r="D113" s="131">
        <v>43548</v>
      </c>
      <c r="E113" s="131">
        <v>43548</v>
      </c>
      <c r="F113" s="125">
        <v>1</v>
      </c>
      <c r="G113" s="125" t="s">
        <v>174</v>
      </c>
      <c r="H113" s="125">
        <v>0</v>
      </c>
    </row>
    <row r="114" spans="1:8" x14ac:dyDescent="0.2">
      <c r="A114" s="125">
        <v>8645</v>
      </c>
      <c r="B114" s="125">
        <v>54788734</v>
      </c>
      <c r="C114" s="125" t="s">
        <v>117</v>
      </c>
      <c r="D114" s="131">
        <v>43556</v>
      </c>
      <c r="E114" s="131">
        <v>43556</v>
      </c>
      <c r="F114" s="125">
        <v>1</v>
      </c>
      <c r="G114" s="125" t="s">
        <v>174</v>
      </c>
      <c r="H114" s="125">
        <v>0</v>
      </c>
    </row>
    <row r="115" spans="1:8" x14ac:dyDescent="0.2">
      <c r="A115" s="125">
        <v>8645</v>
      </c>
      <c r="B115" s="125">
        <v>54788736</v>
      </c>
      <c r="C115" s="125" t="s">
        <v>290</v>
      </c>
      <c r="D115" s="131">
        <v>43548</v>
      </c>
      <c r="E115" s="131">
        <v>43548</v>
      </c>
      <c r="F115" s="125">
        <v>1</v>
      </c>
      <c r="G115" s="125" t="s">
        <v>174</v>
      </c>
      <c r="H115" s="125">
        <v>0</v>
      </c>
    </row>
    <row r="116" spans="1:8" x14ac:dyDescent="0.2">
      <c r="A116" s="125">
        <v>8645</v>
      </c>
      <c r="B116" s="125">
        <v>54788738</v>
      </c>
      <c r="C116" s="125" t="s">
        <v>146</v>
      </c>
      <c r="D116" s="131">
        <v>43548</v>
      </c>
      <c r="E116" s="131">
        <v>43548</v>
      </c>
      <c r="F116" s="125">
        <v>1</v>
      </c>
      <c r="G116" s="125" t="s">
        <v>174</v>
      </c>
      <c r="H116" s="125">
        <v>100</v>
      </c>
    </row>
    <row r="117" spans="1:8" x14ac:dyDescent="0.2">
      <c r="A117" s="125">
        <v>8645</v>
      </c>
      <c r="B117" s="125">
        <v>54788740</v>
      </c>
      <c r="C117" s="125" t="s">
        <v>113</v>
      </c>
      <c r="D117" s="131">
        <v>43548</v>
      </c>
      <c r="E117" s="131">
        <v>43548</v>
      </c>
      <c r="F117" s="125">
        <v>1</v>
      </c>
      <c r="G117" s="125" t="s">
        <v>174</v>
      </c>
      <c r="H117" s="125">
        <v>25</v>
      </c>
    </row>
    <row r="118" spans="1:8" x14ac:dyDescent="0.2">
      <c r="A118" s="125">
        <v>8645</v>
      </c>
      <c r="B118" s="125">
        <v>54788744</v>
      </c>
      <c r="C118" s="125" t="s">
        <v>120</v>
      </c>
      <c r="D118" s="131">
        <v>43548</v>
      </c>
      <c r="E118" s="131">
        <v>43548</v>
      </c>
      <c r="F118" s="125">
        <v>1</v>
      </c>
      <c r="G118" s="125" t="s">
        <v>174</v>
      </c>
      <c r="H118" s="125">
        <v>50</v>
      </c>
    </row>
    <row r="119" spans="1:8" x14ac:dyDescent="0.2">
      <c r="A119" s="125">
        <v>8645</v>
      </c>
      <c r="B119" s="125">
        <v>54788747</v>
      </c>
      <c r="C119" s="125" t="s">
        <v>121</v>
      </c>
      <c r="D119" s="131">
        <v>43548</v>
      </c>
      <c r="E119" s="131">
        <v>43548</v>
      </c>
      <c r="F119" s="125">
        <v>1</v>
      </c>
      <c r="G119" s="125" t="s">
        <v>174</v>
      </c>
      <c r="H119" s="125">
        <v>50</v>
      </c>
    </row>
    <row r="120" spans="1:8" x14ac:dyDescent="0.2">
      <c r="A120" s="125">
        <v>8645</v>
      </c>
      <c r="B120" s="125">
        <v>54788748</v>
      </c>
      <c r="C120" s="125" t="s">
        <v>166</v>
      </c>
      <c r="D120" s="131">
        <v>43548</v>
      </c>
      <c r="E120" s="131">
        <v>43548</v>
      </c>
      <c r="F120" s="125">
        <v>1</v>
      </c>
      <c r="G120" s="125" t="s">
        <v>174</v>
      </c>
      <c r="H120" s="125">
        <v>0</v>
      </c>
    </row>
    <row r="121" spans="1:8" x14ac:dyDescent="0.2">
      <c r="A121" s="125">
        <v>8645</v>
      </c>
      <c r="B121" s="125">
        <v>54788749</v>
      </c>
      <c r="C121" s="125" t="s">
        <v>122</v>
      </c>
      <c r="D121" s="131">
        <v>43548</v>
      </c>
      <c r="E121" s="131">
        <v>43548</v>
      </c>
      <c r="F121" s="125">
        <v>1</v>
      </c>
      <c r="G121" s="125" t="s">
        <v>174</v>
      </c>
      <c r="H121" s="125">
        <v>0</v>
      </c>
    </row>
    <row r="122" spans="1:8" x14ac:dyDescent="0.2">
      <c r="A122" s="125">
        <v>8645</v>
      </c>
      <c r="B122" s="125">
        <v>54788753</v>
      </c>
      <c r="C122" s="125" t="s">
        <v>291</v>
      </c>
      <c r="D122" s="131">
        <v>43548</v>
      </c>
      <c r="E122" s="131">
        <v>43548</v>
      </c>
      <c r="F122" s="125">
        <v>1</v>
      </c>
      <c r="G122" s="125" t="s">
        <v>174</v>
      </c>
      <c r="H122" s="125">
        <v>50</v>
      </c>
    </row>
    <row r="123" spans="1:8" x14ac:dyDescent="0.2">
      <c r="A123" s="125">
        <v>8645</v>
      </c>
      <c r="B123" s="125">
        <v>54788756</v>
      </c>
      <c r="C123" s="125" t="s">
        <v>118</v>
      </c>
      <c r="D123" s="131">
        <v>43548</v>
      </c>
      <c r="E123" s="131">
        <v>43548</v>
      </c>
      <c r="F123" s="125">
        <v>1</v>
      </c>
      <c r="G123" s="125" t="s">
        <v>174</v>
      </c>
      <c r="H123" s="125">
        <v>0</v>
      </c>
    </row>
  </sheetData>
  <sortState ref="W2:X46">
    <sortCondition ref="W2:W4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Shir</cp:lastModifiedBy>
  <cp:lastPrinted>2018-11-08T11:54:11Z</cp:lastPrinted>
  <dcterms:created xsi:type="dcterms:W3CDTF">2018-07-29T15:33:45Z</dcterms:created>
  <dcterms:modified xsi:type="dcterms:W3CDTF">2019-03-31T07:58:57Z</dcterms:modified>
</cp:coreProperties>
</file>