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av\just manage\Ari Urieli - 0- לקוחות פרויקטים\משרד העבודה - מכרז 41-16\משרד העבודה- דוחות\שבזי 197 ראש העין\דוחות\"/>
    </mc:Choice>
  </mc:AlternateContent>
  <bookViews>
    <workbookView xWindow="0" yWindow="0" windowWidth="28800" windowHeight="12480"/>
  </bookViews>
  <sheets>
    <sheet name="דוח" sheetId="2" r:id="rId1"/>
    <sheet name="שקלול הציון" sheetId="1" r:id="rId2"/>
    <sheet name="ליקויים מהמערכת" sheetId="3" state="hidden" r:id="rId3"/>
  </sheets>
  <definedNames>
    <definedName name="_xlnm.Print_Area" localSheetId="0">דוח!$A$1:$L$74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2" i="3"/>
  <c r="F37" i="2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U4" i="1"/>
  <c r="U49" i="1" l="1"/>
  <c r="F36" i="2"/>
  <c r="G51" i="1" l="1"/>
  <c r="C52" i="2" l="1"/>
  <c r="A16" i="2" l="1"/>
  <c r="A17" i="2" s="1"/>
  <c r="A18" i="2" s="1"/>
  <c r="A19" i="2" s="1"/>
  <c r="A20" i="2" s="1"/>
  <c r="A21" i="2" s="1"/>
  <c r="F42" i="2" l="1"/>
  <c r="E8" i="2" s="1"/>
  <c r="B21" i="2"/>
  <c r="B20" i="2"/>
  <c r="B19" i="2"/>
  <c r="B18" i="2"/>
  <c r="B17" i="2"/>
  <c r="B16" i="2"/>
  <c r="B15" i="2"/>
  <c r="H48" i="1" l="1"/>
  <c r="H47" i="1"/>
  <c r="H46" i="1"/>
  <c r="J45" i="1"/>
  <c r="H44" i="1"/>
  <c r="J43" i="1"/>
  <c r="H43" i="1"/>
  <c r="K43" i="1" s="1"/>
  <c r="M43" i="1" s="1"/>
  <c r="J42" i="1"/>
  <c r="H42" i="1"/>
  <c r="I42" i="1" s="1"/>
  <c r="H41" i="1"/>
  <c r="J40" i="1"/>
  <c r="J39" i="1"/>
  <c r="H38" i="1"/>
  <c r="H37" i="1"/>
  <c r="J36" i="1"/>
  <c r="J35" i="1"/>
  <c r="H34" i="1"/>
  <c r="J33" i="1"/>
  <c r="J32" i="1"/>
  <c r="H32" i="1"/>
  <c r="K32" i="1" s="1"/>
  <c r="M32" i="1" s="1"/>
  <c r="H31" i="1"/>
  <c r="H30" i="1"/>
  <c r="K27" i="1"/>
  <c r="M27" i="1" s="1"/>
  <c r="H28" i="1"/>
  <c r="H27" i="1"/>
  <c r="H25" i="1"/>
  <c r="H24" i="1"/>
  <c r="J23" i="1"/>
  <c r="H23" i="1"/>
  <c r="K23" i="1" s="1"/>
  <c r="M23" i="1" s="1"/>
  <c r="H22" i="1"/>
  <c r="K21" i="1"/>
  <c r="M21" i="1" s="1"/>
  <c r="H21" i="1"/>
  <c r="J20" i="1"/>
  <c r="H20" i="1"/>
  <c r="H19" i="1"/>
  <c r="H17" i="1"/>
  <c r="H16" i="1"/>
  <c r="H15" i="1"/>
  <c r="H14" i="1"/>
  <c r="J13" i="1"/>
  <c r="H12" i="1"/>
  <c r="J11" i="1"/>
  <c r="J10" i="1"/>
  <c r="H8" i="1"/>
  <c r="J7" i="1"/>
  <c r="H6" i="1"/>
  <c r="H5" i="1"/>
  <c r="K4" i="1"/>
  <c r="M4" i="1" s="1"/>
  <c r="H4" i="1"/>
  <c r="I43" i="1" l="1"/>
  <c r="I4" i="1"/>
  <c r="J5" i="1" s="1"/>
  <c r="J30" i="1"/>
  <c r="J38" i="1"/>
  <c r="J41" i="1"/>
  <c r="J25" i="1"/>
  <c r="J46" i="1"/>
  <c r="K46" i="1"/>
  <c r="M46" i="1" s="1"/>
  <c r="I46" i="1"/>
  <c r="H36" i="1"/>
  <c r="K36" i="1" s="1"/>
  <c r="M36" i="1" s="1"/>
  <c r="H11" i="1"/>
  <c r="J24" i="1"/>
  <c r="H29" i="1"/>
  <c r="I27" i="1" s="1"/>
  <c r="J29" i="1" s="1"/>
  <c r="J31" i="1"/>
  <c r="H33" i="1"/>
  <c r="J34" i="1"/>
  <c r="I21" i="1"/>
  <c r="J21" i="1" s="1"/>
  <c r="J37" i="1"/>
  <c r="J47" i="1"/>
  <c r="I31" i="1"/>
  <c r="K31" i="1"/>
  <c r="M31" i="1" s="1"/>
  <c r="I34" i="1"/>
  <c r="K34" i="1"/>
  <c r="K37" i="1"/>
  <c r="M37" i="1" s="1"/>
  <c r="I37" i="1"/>
  <c r="K47" i="1"/>
  <c r="M47" i="1" s="1"/>
  <c r="I47" i="1"/>
  <c r="K24" i="1"/>
  <c r="M24" i="1" s="1"/>
  <c r="I24" i="1"/>
  <c r="K30" i="1"/>
  <c r="I30" i="1"/>
  <c r="I38" i="1"/>
  <c r="K38" i="1"/>
  <c r="M38" i="1" s="1"/>
  <c r="K41" i="1"/>
  <c r="M41" i="1" s="1"/>
  <c r="I41" i="1"/>
  <c r="I44" i="1"/>
  <c r="K44" i="1"/>
  <c r="M44" i="1" s="1"/>
  <c r="I48" i="1"/>
  <c r="K48" i="1"/>
  <c r="M48" i="1" s="1"/>
  <c r="H40" i="1"/>
  <c r="K42" i="1"/>
  <c r="J44" i="1"/>
  <c r="J48" i="1"/>
  <c r="K6" i="1"/>
  <c r="M6" i="1" s="1"/>
  <c r="H7" i="1"/>
  <c r="I6" i="1" s="1"/>
  <c r="J6" i="1" s="1"/>
  <c r="I23" i="1"/>
  <c r="K25" i="1"/>
  <c r="M25" i="1" s="1"/>
  <c r="H26" i="1"/>
  <c r="I25" i="1" s="1"/>
  <c r="J26" i="1" s="1"/>
  <c r="I32" i="1"/>
  <c r="H35" i="1"/>
  <c r="H39" i="1"/>
  <c r="H45" i="1"/>
  <c r="H10" i="1"/>
  <c r="K12" i="1"/>
  <c r="H13" i="1"/>
  <c r="J14" i="1"/>
  <c r="H18" i="1"/>
  <c r="K10" i="1"/>
  <c r="M10" i="1" s="1"/>
  <c r="K8" i="1"/>
  <c r="M8" i="1" s="1"/>
  <c r="H9" i="1"/>
  <c r="I8" i="1" s="1"/>
  <c r="J22" i="1" l="1"/>
  <c r="J8" i="1"/>
  <c r="J9" i="1"/>
  <c r="J4" i="1"/>
  <c r="I36" i="1"/>
  <c r="I10" i="1"/>
  <c r="J28" i="1"/>
  <c r="J27" i="1"/>
  <c r="L46" i="1"/>
  <c r="N47" i="1" s="1"/>
  <c r="L4" i="1"/>
  <c r="I12" i="1"/>
  <c r="J18" i="1" s="1"/>
  <c r="K33" i="1"/>
  <c r="M33" i="1" s="1"/>
  <c r="I33" i="1"/>
  <c r="M42" i="1"/>
  <c r="I39" i="1"/>
  <c r="K39" i="1"/>
  <c r="M30" i="1"/>
  <c r="M34" i="1"/>
  <c r="I35" i="1"/>
  <c r="K35" i="1"/>
  <c r="M35" i="1" s="1"/>
  <c r="K40" i="1"/>
  <c r="M40" i="1" s="1"/>
  <c r="I40" i="1"/>
  <c r="M12" i="1"/>
  <c r="L12" i="1" s="1"/>
  <c r="I45" i="1"/>
  <c r="K45" i="1"/>
  <c r="M45" i="1" s="1"/>
  <c r="N8" i="1" l="1"/>
  <c r="J17" i="1"/>
  <c r="J12" i="1"/>
  <c r="L30" i="1"/>
  <c r="N31" i="1" s="1"/>
  <c r="N46" i="1"/>
  <c r="N48" i="1"/>
  <c r="N10" i="1"/>
  <c r="O46" i="1"/>
  <c r="P46" i="1" s="1"/>
  <c r="J19" i="1"/>
  <c r="N4" i="1"/>
  <c r="O4" i="1"/>
  <c r="P4" i="1" s="1"/>
  <c r="N6" i="1"/>
  <c r="J16" i="1"/>
  <c r="J15" i="1"/>
  <c r="N25" i="1"/>
  <c r="O12" i="1"/>
  <c r="P12" i="1" s="1"/>
  <c r="N23" i="1"/>
  <c r="N21" i="1"/>
  <c r="N27" i="1"/>
  <c r="N24" i="1"/>
  <c r="L42" i="1"/>
  <c r="L34" i="1"/>
  <c r="M39" i="1"/>
  <c r="L39" i="1" s="1"/>
  <c r="N30" i="1" l="1"/>
  <c r="N32" i="1"/>
  <c r="O30" i="1"/>
  <c r="P30" i="1" s="1"/>
  <c r="N33" i="1"/>
  <c r="N12" i="1"/>
  <c r="N39" i="1"/>
  <c r="N40" i="1"/>
  <c r="N41" i="1"/>
  <c r="O39" i="1"/>
  <c r="P39" i="1" s="1"/>
  <c r="N44" i="1"/>
  <c r="N42" i="1"/>
  <c r="N45" i="1"/>
  <c r="N43" i="1"/>
  <c r="O42" i="1"/>
  <c r="P42" i="1" s="1"/>
  <c r="N38" i="1"/>
  <c r="N35" i="1"/>
  <c r="N36" i="1"/>
  <c r="O34" i="1"/>
  <c r="P34" i="1" s="1"/>
  <c r="N37" i="1"/>
  <c r="N34" i="1"/>
  <c r="Q34" i="1" l="1"/>
  <c r="Q39" i="1"/>
  <c r="Q4" i="1"/>
  <c r="Q46" i="1"/>
  <c r="Q12" i="1"/>
  <c r="Q30" i="1"/>
  <c r="Q42" i="1"/>
  <c r="D21" i="2" l="1"/>
  <c r="Y21" i="2" s="1"/>
  <c r="D15" i="2"/>
  <c r="D19" i="2"/>
  <c r="Y19" i="2" s="1"/>
  <c r="D20" i="2"/>
  <c r="Y20" i="2" s="1"/>
  <c r="D17" i="2"/>
  <c r="Y17" i="2" s="1"/>
  <c r="D16" i="2"/>
  <c r="Y16" i="2" s="1"/>
  <c r="D18" i="2"/>
  <c r="Y18" i="2" s="1"/>
  <c r="Y15" i="2" l="1"/>
  <c r="D22" i="2"/>
  <c r="C26" i="2" s="1"/>
  <c r="X21" i="2"/>
  <c r="C21" i="2"/>
  <c r="Y23" i="2" l="1"/>
  <c r="Y22" i="2"/>
  <c r="Y24" i="2" l="1"/>
  <c r="X18" i="2" l="1"/>
  <c r="C18" i="2"/>
  <c r="X19" i="2"/>
  <c r="C19" i="2"/>
  <c r="C16" i="2"/>
  <c r="C17" i="2"/>
  <c r="X16" i="2"/>
  <c r="C20" i="2"/>
  <c r="X20" i="2"/>
  <c r="X17" i="2"/>
  <c r="X15" i="2"/>
  <c r="C15" i="2"/>
  <c r="C22" i="2" l="1"/>
  <c r="X22" i="2"/>
</calcChain>
</file>

<file path=xl/sharedStrings.xml><?xml version="1.0" encoding="utf-8"?>
<sst xmlns="http://schemas.openxmlformats.org/spreadsheetml/2006/main" count="385" uniqueCount="208">
  <si>
    <t>סכנת נפילת אדם</t>
  </si>
  <si>
    <t>סכנת התמוטטות</t>
  </si>
  <si>
    <t>נפילת חפצים ופסולת מגובה</t>
  </si>
  <si>
    <t>סיכוני שינוע</t>
  </si>
  <si>
    <t>שימוש בציוד מגן</t>
  </si>
  <si>
    <t>רמת ארגון אתר</t>
  </si>
  <si>
    <t>סיכוני עבודה חמה</t>
  </si>
  <si>
    <t>עבודה על גג/תקרה של בניין</t>
  </si>
  <si>
    <t>עבודה ללא רתמות בטיחות</t>
  </si>
  <si>
    <t>גידור רצפות מעברים/מרפסות/פיגומים למניעת נפילת אדם.</t>
  </si>
  <si>
    <t>פיגומים אינם קיימים</t>
  </si>
  <si>
    <t>פיגומים אינם מורכבים כראוי</t>
  </si>
  <si>
    <t xml:space="preserve">התקנת מערכת טפסות </t>
  </si>
  <si>
    <t>אחסון תבניות מתועשות ללא תמיכה</t>
  </si>
  <si>
    <t xml:space="preserve">הנחת אלמנטים טרומיים </t>
  </si>
  <si>
    <t xml:space="preserve">דפנות חפירה/קיר חצוב </t>
  </si>
  <si>
    <t>סיכוני עגורן צריח</t>
  </si>
  <si>
    <t>השלכה יזומה של חומרים וציוד מגובה</t>
  </si>
  <si>
    <t>השלכת פסולת בניה</t>
  </si>
  <si>
    <t>קיום ציוד וחומרים בשפת רצפות</t>
  </si>
  <si>
    <t xml:space="preserve">לוח רגל ברצפות פיגום </t>
  </si>
  <si>
    <t>אתתים</t>
  </si>
  <si>
    <t>שינוע מטענים</t>
  </si>
  <si>
    <t>הנפת שקי באלות (ביג-בגס)</t>
  </si>
  <si>
    <t>הנפת מטען בעגורן</t>
  </si>
  <si>
    <t>הנפת מטען בקרבה לקווי מתח</t>
  </si>
  <si>
    <t>קסדות מגן</t>
  </si>
  <si>
    <t>נעלי עבודה</t>
  </si>
  <si>
    <t>משקפי מגן</t>
  </si>
  <si>
    <t>קיום שלט באתר</t>
  </si>
  <si>
    <t>מכשולים על הקרקע</t>
  </si>
  <si>
    <t>קיום תא שירותים</t>
  </si>
  <si>
    <t>קיום גידור הקיפי</t>
  </si>
  <si>
    <t>ביצוע עבודות עם ביטומן</t>
  </si>
  <si>
    <t>קיום גידור (עבודה על גג/תקרה של בניין)</t>
  </si>
  <si>
    <t>תקינות הגידור – אזני יד/תיכון, זקפי גידור (עבודה על גג/תקרה של בניין)</t>
  </si>
  <si>
    <t>שימוש ברתמות בטיחות.</t>
  </si>
  <si>
    <t>קיום גידור (מעברים/מרפסות/ פיגומים)</t>
  </si>
  <si>
    <t>תקינות הגידור – אזני יד/תיכון, זקפי גידור (מעברים/מרפסות/פיגומים)</t>
  </si>
  <si>
    <t>עמידה על משטחי עבודה מאולתרים</t>
  </si>
  <si>
    <t>פיגום זיזי –  עיגון זיזים לקוי, אורך משטח עבודה בפינת הבניין לקוי, מפתח בין זיזים</t>
  </si>
  <si>
    <t>פיגום עצמאי – ביסוס, גובה הפיגום, מעצורים</t>
  </si>
  <si>
    <t>פיגום ממוכן – שלוחות מאובטחות, כבלי תלוי מתוחים, שיפוע הפיגום.</t>
  </si>
  <si>
    <t>משטח אחסנה מבוטן ומפולס, קיום תמיכות לתבניות</t>
  </si>
  <si>
    <t>ציון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</si>
  <si>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 xml:space="preserve">פיגום זקפים – </t>
    </r>
    <r>
      <rPr>
        <sz val="11"/>
        <color theme="1"/>
        <rFont val="Arial"/>
        <family val="1"/>
      </rPr>
      <t>חוסר /תקינות קשירות זקפים למבנה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</si>
  <si>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באלכסונים, תקינות קשירות לזקפים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</si>
  <si>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בזקפים כפולים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</si>
  <si>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ביסוס לקוי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</si>
  <si>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אלכסוניות למערכת טפסות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</si>
  <si>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>התקנת רשת בקיר חצוב למניעת הדרדרות אבנים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</si>
  <si>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הנחת ציוד, חומרי בניין ופסולת על גבי ספי רצפות/מרפסות/מעקות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</si>
  <si>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קיום שלט במקום נראה לעין הכולל את פרטי המבצע, מנ"ע ומהות הבניה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</si>
  <si>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פסולת בניה שפזורה בשטח האתר המהווה מכשולים</t>
    </r>
  </si>
  <si>
    <t>קטגוריה</t>
  </si>
  <si>
    <t>ציון ליקוי</t>
  </si>
  <si>
    <t>ציון משוקלל ליקוי</t>
  </si>
  <si>
    <t>ציון משוקלל לקטגוריה</t>
  </si>
  <si>
    <t>ציון משוקללנושא</t>
  </si>
  <si>
    <t>ליקויים למפגע</t>
  </si>
  <si>
    <t>מפגעים</t>
  </si>
  <si>
    <t>משקל קטגוריה</t>
  </si>
  <si>
    <t>משקל מפגעים</t>
  </si>
  <si>
    <t>משקל ליקויים למפגע</t>
  </si>
  <si>
    <t>תאריך:</t>
  </si>
  <si>
    <t>שעה:</t>
  </si>
  <si>
    <t>סייר נוסף:</t>
  </si>
  <si>
    <t>שם הסייר:</t>
  </si>
  <si>
    <t>נ"צ X:</t>
  </si>
  <si>
    <t>נ"צ Y:</t>
  </si>
  <si>
    <t>שטח בנוי:</t>
  </si>
  <si>
    <t>שם מנהל העבודה באתר:</t>
  </si>
  <si>
    <t>רמת בטיחות:</t>
  </si>
  <si>
    <t>שם היזם:</t>
  </si>
  <si>
    <t>שם הקבלן:</t>
  </si>
  <si>
    <t>ח.פ יזם:</t>
  </si>
  <si>
    <t>ח.פ. קבלן:</t>
  </si>
  <si>
    <t>מס בניין</t>
  </si>
  <si>
    <t>שלב ביצוע</t>
  </si>
  <si>
    <t>מס' קומות בעת הביקור</t>
  </si>
  <si>
    <t>הערכת שטח בנוי</t>
  </si>
  <si>
    <t>שטח קומה טיפוסית</t>
  </si>
  <si>
    <t>כלים טעוני בדיקה</t>
  </si>
  <si>
    <t>תיאור</t>
  </si>
  <si>
    <t>כמות</t>
  </si>
  <si>
    <t>מיקום באתר</t>
  </si>
  <si>
    <t>עגורן צריח</t>
  </si>
  <si>
    <t>פיגום ממוכן</t>
  </si>
  <si>
    <t>מעלית בניה</t>
  </si>
  <si>
    <t>כננת הרמה</t>
  </si>
  <si>
    <t>במות הרמה</t>
  </si>
  <si>
    <t>משקל בסיור</t>
  </si>
  <si>
    <t>סה"כ</t>
  </si>
  <si>
    <t>נתוני בניינים בזמן הסיור</t>
  </si>
  <si>
    <t>תאור הביקור והתרשמות עורך הסקר</t>
  </si>
  <si>
    <t>ת.ז:</t>
  </si>
  <si>
    <t>הסקירה בוצעה ע"י אפליקציית JUST MANAGE</t>
  </si>
  <si>
    <t>סיכום סיור בפרויקט:</t>
  </si>
  <si>
    <t>להוציא צו הפסקת עבודה</t>
  </si>
  <si>
    <t>פעולות המשך לביצוע - משרד העבודה</t>
  </si>
  <si>
    <t>ליצור קשר עם מנהל העבוהד באתר</t>
  </si>
  <si>
    <t xml:space="preserve">לשלוח מכתב לקבלן </t>
  </si>
  <si>
    <t>לשלוח מפקח אחראי לסיור המשך</t>
  </si>
  <si>
    <t>לשלוח לאתר את דוח הממצאים</t>
  </si>
  <si>
    <t>לשלוח דוח כספי לאתר</t>
  </si>
  <si>
    <t>סה"כ כלים באתר</t>
  </si>
  <si>
    <t>פרטי הפרוקט והסיור</t>
  </si>
  <si>
    <t>ציון הפרויקט</t>
  </si>
  <si>
    <t>עיר:</t>
  </si>
  <si>
    <t>רחוב:</t>
  </si>
  <si>
    <t>מספר:</t>
  </si>
  <si>
    <t>גוש:</t>
  </si>
  <si>
    <t>חלקה:</t>
  </si>
  <si>
    <t>פרויקט</t>
  </si>
  <si>
    <t>RowIndex</t>
  </si>
  <si>
    <t>SpaceActivityId</t>
  </si>
  <si>
    <t>ActivityName</t>
  </si>
  <si>
    <t>StartDate</t>
  </si>
  <si>
    <t>EndDate</t>
  </si>
  <si>
    <t>Duration</t>
  </si>
  <si>
    <t>SpaceDescription</t>
  </si>
  <si>
    <t>ImplementationPercent</t>
  </si>
  <si>
    <t>Ancestors</t>
  </si>
  <si>
    <t>ליקוי ל: קיום גידור (עבודה על גג/תקרה של בניין)</t>
  </si>
  <si>
    <t>ליקוי ל: תקינות הגידור – אזני יד/תיכון, זקפי גידור (עבודה על גג/תקרה של בניין)</t>
  </si>
  <si>
    <t>ליקוי ל: קיום גידור (מעברים/מרפסות/ פיגומים)</t>
  </si>
  <si>
    <t>ליקוי ל: שמירת מרחק בטיחות מקווי חשמל עליים</t>
  </si>
  <si>
    <t>ליקוי ל: גידור תקין, שער כניסה תקין</t>
  </si>
  <si>
    <t>ליקוי ל:   קיום שלט במקום נראה לעין הכולל את פרטי המבצע, מנ"ע ומהות הבניה</t>
  </si>
  <si>
    <t>ליקוי ל:   פסולת בניה שפזורה בשטח האתר המהווה מכשולים</t>
  </si>
  <si>
    <t>ליקוי ל:   הנחת ציוד, חומרי בניין ופסולת על גבי ספי רצפות/מרפסות/מעקות</t>
  </si>
  <si>
    <t>ליקוי ל: שימוש בקסדות מגן</t>
  </si>
  <si>
    <t>ליקוי ל: תקינות הגידור – אזני יד/תיכון, זקפי גידור (מעברים/מרפסות/פיגומים)</t>
  </si>
  <si>
    <r>
      <rPr>
        <sz val="11.5"/>
        <color theme="1"/>
        <rFont val="David"/>
        <family val="2"/>
      </rPr>
      <t>אי קשירת חבל רתמה לנקודת עיגון בטוחה</t>
    </r>
    <r>
      <rPr>
        <sz val="11"/>
        <color theme="1"/>
        <rFont val="Arial"/>
        <family val="1"/>
      </rPr>
      <t>.</t>
    </r>
  </si>
  <si>
    <t>עמידת עובד ישירות על חלקי טפסות/ תבניות</t>
  </si>
  <si>
    <t>פיגום זקפים  - עיגון זקף במקום  תליית זרוע גלגלת של כננת הרמה</t>
  </si>
  <si>
    <t>שימוש לקוי בתמיכות אנכיות למערכת טפסות</t>
  </si>
  <si>
    <t>הנחת אלמנטים טרומיים ללא קיבוע/תמיכה</t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</si>
  <si>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 xml:space="preserve">ביצוע דיפון/שיפוע מתאים </t>
    </r>
  </si>
  <si>
    <t>רתום/אבטחת משקולות בסיס</t>
  </si>
  <si>
    <t>השלכת חומרים וציוד מגובה</t>
  </si>
  <si>
    <t>קיום מובל סגור (שוקת)  רציף ותקין, גידור מיקום השלכת פסולת</t>
  </si>
  <si>
    <t>קיום לוח רגל ברצפות פיגום זקפים</t>
  </si>
  <si>
    <t>זיהוי אתת המצויד במכשיר קשר/או באמצעות סימני ידיים מוסכמים</t>
  </si>
  <si>
    <t>צורת הנפת מטענים בעינוב ואביזרי הרמה מתאימים/מאולתרים</t>
  </si>
  <si>
    <r>
      <rPr>
        <sz val="11.5"/>
        <color theme="1"/>
        <rFont val="David"/>
        <family val="2"/>
      </rPr>
      <t xml:space="preserve">זיהוי שימוש בשקים לשינוע </t>
    </r>
    <r>
      <rPr>
        <u/>
        <sz val="11.5"/>
        <color theme="1"/>
        <rFont val="David"/>
        <family val="2"/>
      </rPr>
      <t>פסולת בניה</t>
    </r>
  </si>
  <si>
    <t>קיום לשונית אבטחה באונקל</t>
  </si>
  <si>
    <t>שמירת מרחק בטיחות מקווי חשמל עליים</t>
  </si>
  <si>
    <t>שימוש בקסדות מגן</t>
  </si>
  <si>
    <t>שימוש בנעלי עבודה</t>
  </si>
  <si>
    <t>שימוש במשקפי מגן</t>
  </si>
  <si>
    <t>מבנה שירותים תקין (עם דלת)</t>
  </si>
  <si>
    <t>גידור תקין, שער כניסה תקין</t>
  </si>
  <si>
    <t>הצבת חבית ביטומן על משטח לא יציב</t>
  </si>
  <si>
    <t>המצאות ציוד לכיבוי</t>
  </si>
  <si>
    <t>קיום מרחק בטיחות ממקום חימום ביטומן</t>
  </si>
  <si>
    <t>ליקוי ל:   שלטי ע.ע.ב  על גבי זרוע העגורן</t>
  </si>
  <si>
    <t>ליקוי ל:   שלטי פרסום על זרועות/תורן העגורן</t>
  </si>
  <si>
    <t>ליקוי ל: קיום לשונית אבטחה באונקל</t>
  </si>
  <si>
    <t>ליקוי ל: רתום/אבטחת משקולות בסיס</t>
  </si>
  <si>
    <t>ליקוי ל: צורת הנפת מטענים בעינוב ואביזרי הרמה מתאימים/מאולתרים</t>
  </si>
  <si>
    <t>ליקוי ל: משטח אחסנה מבוטן ומפולס, קיום תמיכות לתבניות</t>
  </si>
  <si>
    <t>ליקוי ל: שימוש ברתמות בטיחות.</t>
  </si>
  <si>
    <t>ליקוי ל: זיהוי אתת המצויד במכשיר קשר/או באמצעות סימני ידיים מוסכמים</t>
  </si>
  <si>
    <t>פיגום זקפים – תקינות רצפות/סולמות, עומס יתר</t>
  </si>
  <si>
    <t xml:space="preserve">  שלטי ע.ע.ב  על גבי זרוע העגורן</t>
  </si>
  <si>
    <t xml:space="preserve">  שלטי פרסום על זרועות/תורן העגורן</t>
  </si>
  <si>
    <t>מס' בניינים</t>
  </si>
  <si>
    <t>שרון מורדכי</t>
  </si>
  <si>
    <t>מס' עבודה/אפיק:</t>
  </si>
  <si>
    <t>מס הזמנה:</t>
  </si>
  <si>
    <t>אי קשירת חבל רתמה לנקודת עיגון בטוחה.</t>
  </si>
  <si>
    <t>  פיגום זקפים – חוסר /תקינות קשירות זקפים למבנה</t>
  </si>
  <si>
    <t>  פיגום זקפים - חוסר באלכסונים, תקינות קשירות לזקפים</t>
  </si>
  <si>
    <t>  פיגום זקפים - חוסר בזקפים כפולים</t>
  </si>
  <si>
    <t>  פיגום זקפים - ביסוס לקוי</t>
  </si>
  <si>
    <t>  שימוש לקוי בתמיכות אלכסוניות למערכת טפסות</t>
  </si>
  <si>
    <t xml:space="preserve"> ביצוע דיפון/שיפוע מתאים </t>
  </si>
  <si>
    <t>   התקנת רשת בקיר חצוב למניעת הדרדרות אבנים</t>
  </si>
  <si>
    <t>  הנחת ציוד, חומרי בניין ופסולת על גבי ספי רצפות/מרפסות/מעקות</t>
  </si>
  <si>
    <t>זיהוי שימוש בשקים לשינוע פסולת בניה</t>
  </si>
  <si>
    <t>  קיום שלט במקום נראה לעין הכולל את פרטי המבצע, מנ"ע ומהות הבניה</t>
  </si>
  <si>
    <t>  פסולת בניה שפזורה בשטח האתר המהווה מכשולים</t>
  </si>
  <si>
    <t xml:space="preserve">  קיום גידור (עבודה על גג/תקרה של בניין)</t>
  </si>
  <si>
    <t xml:space="preserve">  תקינות הגידור – אזני יד/תיכון, זקפי גידור (עבודה על גג/תקרה של בניין)</t>
  </si>
  <si>
    <t xml:space="preserve">  קיום גידור (מעברים/מרפסות/ פיגומים)</t>
  </si>
  <si>
    <t xml:space="preserve">  קיום לוח רגל ברצפות פיגום זקפים</t>
  </si>
  <si>
    <t xml:space="preserve">  קיום לשונית אבטחה באונקל</t>
  </si>
  <si>
    <t xml:space="preserve">  שימוש במשקפי מגן</t>
  </si>
  <si>
    <t xml:space="preserve">  שימוש בנעלי עבודה</t>
  </si>
  <si>
    <t>ליקוי ל: מבנה שירותים תקין (עם דלת)</t>
  </si>
  <si>
    <t>ליקוי ל: שימוש בנעלי עבודה</t>
  </si>
  <si>
    <t>גמר</t>
  </si>
  <si>
    <t>א.ציבורי סמוך:</t>
  </si>
  <si>
    <t>מרכז</t>
  </si>
  <si>
    <t>שלד וגמר</t>
  </si>
  <si>
    <t>שבזי 197, ראש העין</t>
  </si>
  <si>
    <t>איגור וישנסקי</t>
  </si>
  <si>
    <t>נתון חסר</t>
  </si>
  <si>
    <t>6</t>
  </si>
  <si>
    <t>דניה סיבוס</t>
  </si>
  <si>
    <t>34.970610</t>
  </si>
  <si>
    <t>ראש העין</t>
  </si>
  <si>
    <t>שבזי</t>
  </si>
  <si>
    <t>1, 2, 3</t>
  </si>
  <si>
    <t>4, 5, 6</t>
  </si>
  <si>
    <t>שבזי 197- ב 1</t>
  </si>
  <si>
    <t>האתר מכיל 6 מבנים למגורים. האתר כולו ברמת בטיחות בינונית בדגש על סכנות נפילת אדם והתמוטטות.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</si>
</sst>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000%"/>
    <numFmt numFmtId="166" formatCode="0.000000%"/>
  </numFmts>
  <fonts count="1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.5"/>
      <color theme="1"/>
      <name val="David"/>
      <family val="2"/>
    </font>
    <font>
      <sz val="11.5"/>
      <color theme="1"/>
      <name val="Calibri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  <font>
      <u/>
      <sz val="11.5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4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Border="0"/>
  </cellStyleXfs>
  <cellXfs count="184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7" xfId="0" applyBorder="1"/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9" fontId="2" fillId="0" borderId="14" xfId="2" applyFont="1" applyBorder="1" applyAlignment="1">
      <alignment horizontal="center" vertical="center" wrapText="1"/>
    </xf>
    <xf numFmtId="9" fontId="2" fillId="2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/>
    </xf>
    <xf numFmtId="164" fontId="0" fillId="3" borderId="14" xfId="2" applyNumberFormat="1" applyFont="1" applyFill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/>
    </xf>
    <xf numFmtId="164" fontId="0" fillId="3" borderId="12" xfId="2" applyNumberFormat="1" applyFont="1" applyFill="1" applyBorder="1" applyAlignment="1">
      <alignment horizontal="center" vertical="center"/>
    </xf>
    <xf numFmtId="9" fontId="4" fillId="0" borderId="12" xfId="2" applyFont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9" fontId="2" fillId="0" borderId="19" xfId="2" applyFont="1" applyBorder="1" applyAlignment="1">
      <alignment horizontal="center" vertical="center" wrapText="1"/>
    </xf>
    <xf numFmtId="9" fontId="2" fillId="2" borderId="19" xfId="2" applyFont="1" applyFill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/>
    </xf>
    <xf numFmtId="164" fontId="0" fillId="3" borderId="19" xfId="2" applyNumberFormat="1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 wrapText="1"/>
    </xf>
    <xf numFmtId="9" fontId="0" fillId="3" borderId="19" xfId="2" applyFont="1" applyFill="1" applyBorder="1" applyAlignment="1">
      <alignment horizontal="center" vertical="center"/>
    </xf>
    <xf numFmtId="9" fontId="4" fillId="0" borderId="14" xfId="2" applyFont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4" fillId="0" borderId="19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 wrapText="1"/>
    </xf>
    <xf numFmtId="9" fontId="0" fillId="2" borderId="19" xfId="2" applyFont="1" applyFill="1" applyBorder="1" applyAlignment="1">
      <alignment horizontal="center" vertical="center" wrapText="1"/>
    </xf>
    <xf numFmtId="9" fontId="0" fillId="3" borderId="12" xfId="2" applyNumberFormat="1" applyFont="1" applyFill="1" applyBorder="1" applyAlignment="1">
      <alignment horizontal="center" vertical="center"/>
    </xf>
    <xf numFmtId="9" fontId="0" fillId="3" borderId="19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9" fontId="2" fillId="0" borderId="12" xfId="2" applyFont="1" applyBorder="1" applyAlignment="1">
      <alignment horizontal="center" vertical="center" readingOrder="2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166" fontId="0" fillId="0" borderId="0" xfId="2" applyNumberFormat="1" applyFont="1"/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5" xfId="2" applyNumberFormat="1" applyFont="1" applyBorder="1"/>
    <xf numFmtId="164" fontId="0" fillId="0" borderId="26" xfId="0" applyNumberFormat="1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0" fillId="4" borderId="21" xfId="0" applyFill="1" applyBorder="1"/>
    <xf numFmtId="0" fontId="0" fillId="4" borderId="23" xfId="0" applyFill="1" applyBorder="1"/>
    <xf numFmtId="0" fontId="8" fillId="0" borderId="0" xfId="0" applyFont="1" applyAlignment="1"/>
    <xf numFmtId="9" fontId="0" fillId="0" borderId="1" xfId="2" applyFont="1" applyBorder="1"/>
    <xf numFmtId="165" fontId="0" fillId="0" borderId="2" xfId="0" applyNumberFormat="1" applyBorder="1"/>
    <xf numFmtId="2" fontId="0" fillId="0" borderId="3" xfId="0" applyNumberFormat="1" applyBorder="1"/>
    <xf numFmtId="9" fontId="0" fillId="0" borderId="7" xfId="2" applyFont="1" applyBorder="1"/>
    <xf numFmtId="165" fontId="0" fillId="0" borderId="0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1" fontId="10" fillId="0" borderId="38" xfId="0" applyNumberFormat="1" applyFont="1" applyBorder="1"/>
    <xf numFmtId="164" fontId="0" fillId="0" borderId="25" xfId="0" applyNumberForma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/>
    <xf numFmtId="0" fontId="8" fillId="4" borderId="0" xfId="0" applyFont="1" applyFill="1"/>
    <xf numFmtId="0" fontId="0" fillId="4" borderId="27" xfId="0" applyFill="1" applyBorder="1"/>
    <xf numFmtId="9" fontId="0" fillId="4" borderId="28" xfId="2" applyFont="1" applyFill="1" applyBorder="1"/>
    <xf numFmtId="164" fontId="0" fillId="4" borderId="29" xfId="0" applyNumberFormat="1" applyFill="1" applyBorder="1"/>
    <xf numFmtId="0" fontId="7" fillId="4" borderId="39" xfId="0" applyFont="1" applyFill="1" applyBorder="1"/>
    <xf numFmtId="0" fontId="7" fillId="4" borderId="29" xfId="0" applyFont="1" applyFill="1" applyBorder="1"/>
    <xf numFmtId="0" fontId="7" fillId="4" borderId="39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1" xfId="0" applyFill="1" applyBorder="1"/>
    <xf numFmtId="0" fontId="13" fillId="0" borderId="41" xfId="0" applyFont="1" applyFill="1" applyBorder="1" applyAlignment="1"/>
    <xf numFmtId="0" fontId="14" fillId="0" borderId="41" xfId="0" applyFont="1" applyFill="1" applyBorder="1" applyAlignment="1">
      <alignment vertical="center"/>
    </xf>
    <xf numFmtId="0" fontId="0" fillId="4" borderId="0" xfId="0" applyFill="1" applyBorder="1"/>
    <xf numFmtId="49" fontId="8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32" xfId="0" applyBorder="1"/>
    <xf numFmtId="49" fontId="12" fillId="0" borderId="33" xfId="0" applyNumberFormat="1" applyFont="1" applyBorder="1" applyAlignment="1">
      <alignment horizontal="left" vertical="center"/>
    </xf>
    <xf numFmtId="0" fontId="0" fillId="0" borderId="34" xfId="0" applyBorder="1"/>
    <xf numFmtId="49" fontId="8" fillId="0" borderId="33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6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0" borderId="42" xfId="0" applyNumberFormat="1" applyFont="1" applyBorder="1" applyAlignment="1"/>
    <xf numFmtId="0" fontId="0" fillId="0" borderId="43" xfId="0" applyBorder="1"/>
    <xf numFmtId="0" fontId="0" fillId="0" borderId="44" xfId="0" applyBorder="1"/>
    <xf numFmtId="49" fontId="0" fillId="0" borderId="0" xfId="0" applyNumberForma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164" fontId="0" fillId="3" borderId="15" xfId="2" applyNumberFormat="1" applyFont="1" applyFill="1" applyBorder="1" applyAlignment="1">
      <alignment horizontal="center" vertical="center"/>
    </xf>
    <xf numFmtId="164" fontId="0" fillId="3" borderId="17" xfId="2" applyNumberFormat="1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9" fontId="0" fillId="3" borderId="12" xfId="2" applyFont="1" applyFill="1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1" fontId="0" fillId="0" borderId="14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  <xf numFmtId="16" fontId="0" fillId="0" borderId="25" xfId="0" applyNumberFormat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D3647"/>
      <color rgb="FF5B5E7F"/>
      <color rgb="FF3C506F"/>
      <color rgb="FF3C505A"/>
      <color rgb="FF3B4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600335310754"/>
          <c:y val="0.10330909399653163"/>
          <c:w val="0.79130587113434803"/>
          <c:h val="0.5688243455607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דוח!$C$14</c:f>
              <c:strCache>
                <c:ptCount val="1"/>
                <c:pt idx="0">
                  <c:v>משקל בסיור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cmpd="sng">
              <a:solidFill>
                <a:schemeClr val="accent6">
                  <a:lumMod val="75000"/>
                  <a:alpha val="95000"/>
                </a:schemeClr>
              </a:solidFill>
            </a:ln>
            <a:effectLst>
              <a:glow rad="38100">
                <a:schemeClr val="accent6">
                  <a:satMod val="175000"/>
                  <a:alpha val="40000"/>
                </a:schemeClr>
              </a:glow>
              <a:outerShdw blurRad="127000" dist="38100" dir="18900000" algn="b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דוח!$C$15:$C$21</c:f>
              <c:numCache>
                <c:formatCode>0.0%</c:formatCode>
                <c:ptCount val="7"/>
                <c:pt idx="0">
                  <c:v>0.33666666666666667</c:v>
                </c:pt>
                <c:pt idx="1">
                  <c:v>0.36666666666666664</c:v>
                </c:pt>
                <c:pt idx="2">
                  <c:v>8.666666666666667E-2</c:v>
                </c:pt>
                <c:pt idx="3">
                  <c:v>7.6666666666666675E-2</c:v>
                </c:pt>
                <c:pt idx="4">
                  <c:v>5.6666666666666671E-2</c:v>
                </c:pt>
                <c:pt idx="5">
                  <c:v>7.6666666666666675E-2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7B-415D-B67C-60672F7BA380}"/>
            </c:ext>
          </c:extLst>
        </c:ser>
        <c:ser>
          <c:idx val="1"/>
          <c:order val="1"/>
          <c:tx>
            <c:strRef>
              <c:f>דוח!$D$14</c:f>
              <c:strCache>
                <c:ptCount val="1"/>
                <c:pt idx="0">
                  <c:v>ציון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glow rad="38100">
                <a:schemeClr val="accent5">
                  <a:lumMod val="40000"/>
                  <a:lumOff val="60000"/>
                  <a:alpha val="40000"/>
                </a:schemeClr>
              </a:glow>
              <a:outerShdw blurRad="127000" dist="38100" dir="135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דוח!$D$15:$D$21</c:f>
              <c:numCache>
                <c:formatCode>0.0%</c:formatCode>
                <c:ptCount val="7"/>
                <c:pt idx="0">
                  <c:v>0.17343434343434341</c:v>
                </c:pt>
                <c:pt idx="1">
                  <c:v>0.29338991769547329</c:v>
                </c:pt>
                <c:pt idx="2">
                  <c:v>8.666666666666667E-2</c:v>
                </c:pt>
                <c:pt idx="3">
                  <c:v>7.6666666666666661E-2</c:v>
                </c:pt>
                <c:pt idx="4">
                  <c:v>5.6666666666666664E-2</c:v>
                </c:pt>
                <c:pt idx="5">
                  <c:v>5.01984126984127E-2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7B-415D-B67C-60672F7B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47"/>
        <c:axId val="487419352"/>
        <c:axId val="487420136"/>
      </c:barChart>
      <c:catAx>
        <c:axId val="48741935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87420136"/>
        <c:crosses val="autoZero"/>
        <c:auto val="1"/>
        <c:lblAlgn val="ctr"/>
        <c:lblOffset val="100"/>
        <c:noMultiLvlLbl val="0"/>
      </c:catAx>
      <c:valAx>
        <c:axId val="4874201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8741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414261306927073E-2"/>
          <c:y val="0.28773107910721013"/>
          <c:w val="0.10850749897743975"/>
          <c:h val="0.334141876127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216836</xdr:colOff>
      <xdr:row>13</xdr:row>
      <xdr:rowOff>2242</xdr:rowOff>
    </xdr:from>
    <xdr:to>
      <xdr:col>11</xdr:col>
      <xdr:colOff>79003</xdr:colOff>
      <xdr:row>27</xdr:row>
      <xdr:rowOff>190501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xmlns="" id="{FB27E510-65B7-4DD0-BCC4-AC8A6611C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65</xdr:row>
      <xdr:rowOff>85725</xdr:rowOff>
    </xdr:from>
    <xdr:to>
      <xdr:col>5</xdr:col>
      <xdr:colOff>809625</xdr:colOff>
      <xdr:row>65</xdr:row>
      <xdr:rowOff>247650</xdr:rowOff>
    </xdr:to>
    <xdr:sp macro="" textlink="">
      <xdr:nvSpPr>
        <xdr:cNvPr id="4" name="מלבן 3">
          <a:extLst>
            <a:ext uri="{FF2B5EF4-FFF2-40B4-BE49-F238E27FC236}">
              <a16:creationId xmlns:a16="http://schemas.microsoft.com/office/drawing/2014/main" xmlns="" id="{AC84D091-4889-4249-B08B-34F5A9C92327}"/>
            </a:ext>
          </a:extLst>
        </xdr:cNvPr>
        <xdr:cNvSpPr/>
      </xdr:nvSpPr>
      <xdr:spPr>
        <a:xfrm>
          <a:off x="9985543275" y="118014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66</xdr:row>
      <xdr:rowOff>76200</xdr:rowOff>
    </xdr:from>
    <xdr:to>
      <xdr:col>5</xdr:col>
      <xdr:colOff>809625</xdr:colOff>
      <xdr:row>66</xdr:row>
      <xdr:rowOff>238125</xdr:rowOff>
    </xdr:to>
    <xdr:sp macro="" textlink="">
      <xdr:nvSpPr>
        <xdr:cNvPr id="5" name="מלבן 4">
          <a:extLst>
            <a:ext uri="{FF2B5EF4-FFF2-40B4-BE49-F238E27FC236}">
              <a16:creationId xmlns:a16="http://schemas.microsoft.com/office/drawing/2014/main" xmlns="" id="{D3DC29A5-C6F8-4D3C-976B-6673302BF9DE}"/>
            </a:ext>
          </a:extLst>
        </xdr:cNvPr>
        <xdr:cNvSpPr/>
      </xdr:nvSpPr>
      <xdr:spPr>
        <a:xfrm>
          <a:off x="9985543275" y="120681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67</xdr:row>
      <xdr:rowOff>66675</xdr:rowOff>
    </xdr:from>
    <xdr:to>
      <xdr:col>5</xdr:col>
      <xdr:colOff>809625</xdr:colOff>
      <xdr:row>67</xdr:row>
      <xdr:rowOff>228600</xdr:rowOff>
    </xdr:to>
    <xdr:sp macro="" textlink="">
      <xdr:nvSpPr>
        <xdr:cNvPr id="6" name="מלבן 5">
          <a:extLst>
            <a:ext uri="{FF2B5EF4-FFF2-40B4-BE49-F238E27FC236}">
              <a16:creationId xmlns:a16="http://schemas.microsoft.com/office/drawing/2014/main" xmlns="" id="{A473DC35-C829-4EC9-99E3-286E61C45CB0}"/>
            </a:ext>
          </a:extLst>
        </xdr:cNvPr>
        <xdr:cNvSpPr/>
      </xdr:nvSpPr>
      <xdr:spPr>
        <a:xfrm>
          <a:off x="99855432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67</xdr:row>
      <xdr:rowOff>66675</xdr:rowOff>
    </xdr:from>
    <xdr:to>
      <xdr:col>0</xdr:col>
      <xdr:colOff>190500</xdr:colOff>
      <xdr:row>67</xdr:row>
      <xdr:rowOff>228600</xdr:rowOff>
    </xdr:to>
    <xdr:sp macro="" textlink="">
      <xdr:nvSpPr>
        <xdr:cNvPr id="7" name="מלבן 6">
          <a:extLst>
            <a:ext uri="{FF2B5EF4-FFF2-40B4-BE49-F238E27FC236}">
              <a16:creationId xmlns:a16="http://schemas.microsoft.com/office/drawing/2014/main" xmlns="" id="{64BF277E-67E6-4757-8C8C-820C6DA6F724}"/>
            </a:ext>
          </a:extLst>
        </xdr:cNvPr>
        <xdr:cNvSpPr/>
      </xdr:nvSpPr>
      <xdr:spPr>
        <a:xfrm>
          <a:off x="99900771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66</xdr:row>
      <xdr:rowOff>66675</xdr:rowOff>
    </xdr:from>
    <xdr:to>
      <xdr:col>0</xdr:col>
      <xdr:colOff>190500</xdr:colOff>
      <xdr:row>66</xdr:row>
      <xdr:rowOff>228600</xdr:rowOff>
    </xdr:to>
    <xdr:sp macro="" textlink="">
      <xdr:nvSpPr>
        <xdr:cNvPr id="8" name="מלבן 7">
          <a:extLst>
            <a:ext uri="{FF2B5EF4-FFF2-40B4-BE49-F238E27FC236}">
              <a16:creationId xmlns:a16="http://schemas.microsoft.com/office/drawing/2014/main" xmlns="" id="{B8508F5C-2C80-4CB0-89B4-EA19F208D0A8}"/>
            </a:ext>
          </a:extLst>
        </xdr:cNvPr>
        <xdr:cNvSpPr/>
      </xdr:nvSpPr>
      <xdr:spPr>
        <a:xfrm>
          <a:off x="9990077175" y="12058650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65</xdr:row>
      <xdr:rowOff>66675</xdr:rowOff>
    </xdr:from>
    <xdr:to>
      <xdr:col>0</xdr:col>
      <xdr:colOff>190500</xdr:colOff>
      <xdr:row>65</xdr:row>
      <xdr:rowOff>228600</xdr:rowOff>
    </xdr:to>
    <xdr:sp macro="" textlink="">
      <xdr:nvSpPr>
        <xdr:cNvPr id="9" name="מלבן 8">
          <a:extLst>
            <a:ext uri="{FF2B5EF4-FFF2-40B4-BE49-F238E27FC236}">
              <a16:creationId xmlns:a16="http://schemas.microsoft.com/office/drawing/2014/main" xmlns="" id="{25421B56-05DC-4880-88F0-186C56B68345}"/>
            </a:ext>
          </a:extLst>
        </xdr:cNvPr>
        <xdr:cNvSpPr/>
      </xdr:nvSpPr>
      <xdr:spPr>
        <a:xfrm>
          <a:off x="9990077175" y="1178242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7</xdr:col>
      <xdr:colOff>657224</xdr:colOff>
      <xdr:row>0</xdr:row>
      <xdr:rowOff>40340</xdr:rowOff>
    </xdr:from>
    <xdr:to>
      <xdr:col>11</xdr:col>
      <xdr:colOff>71622</xdr:colOff>
      <xdr:row>3</xdr:row>
      <xdr:rowOff>152541</xdr:rowOff>
    </xdr:to>
    <xdr:pic>
      <xdr:nvPicPr>
        <xdr:cNvPr id="11" name="תמונה 10">
          <a:extLst>
            <a:ext uri="{FF2B5EF4-FFF2-40B4-BE49-F238E27FC236}">
              <a16:creationId xmlns:a16="http://schemas.microsoft.com/office/drawing/2014/main" xmlns="" id="{B55D23E5-4B78-457A-9BA2-A0B29E4A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18510" y="40340"/>
          <a:ext cx="2400766" cy="7313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A1:I82" totalsRowShown="0">
  <autoFilter ref="A1:I82"/>
  <tableColumns count="9">
    <tableColumn id="1" name="RowIndex"/>
    <tableColumn id="2" name="SpaceActivityId"/>
    <tableColumn id="3" name="ActivityName"/>
    <tableColumn id="4" name="StartDate"/>
    <tableColumn id="5" name="EndDate"/>
    <tableColumn id="6" name="Duration"/>
    <tableColumn id="7" name="SpaceDescription"/>
    <tableColumn id="8" name="ImplementationPercent"/>
    <tableColumn id="9" name="Ancestor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showGridLines="0" rightToLeft="1" tabSelected="1" topLeftCell="A30" zoomScale="85" zoomScaleNormal="85" workbookViewId="0">
      <selection activeCell="N38" sqref="N38"/>
    </sheetView>
  </sheetViews>
  <sheetFormatPr defaultRowHeight="14.25" x14ac:dyDescent="0.2"/>
  <cols>
    <col min="1" max="1" width="3.625" customWidth="1"/>
    <col min="2" max="2" width="22.625" bestFit="1" customWidth="1"/>
    <col min="3" max="3" width="11.25" customWidth="1"/>
    <col min="4" max="4" width="11.375" customWidth="1"/>
    <col min="5" max="5" width="10.625" bestFit="1" customWidth="1"/>
    <col min="6" max="6" width="13" customWidth="1"/>
    <col min="7" max="7" width="12.125" bestFit="1" customWidth="1"/>
    <col min="8" max="8" width="13.375" customWidth="1"/>
    <col min="9" max="9" width="10" customWidth="1"/>
    <col min="10" max="10" width="10.375" customWidth="1"/>
    <col min="11" max="11" width="11" bestFit="1" customWidth="1" collapsed="1"/>
    <col min="12" max="12" width="5.375" customWidth="1"/>
    <col min="13" max="14" width="10" customWidth="1"/>
    <col min="15" max="15" width="10" customWidth="1" collapsed="1"/>
    <col min="16" max="17" width="10" customWidth="1"/>
    <col min="18" max="18" width="9.125" customWidth="1" collapsed="1"/>
    <col min="20" max="20" width="22.625" bestFit="1" customWidth="1"/>
    <col min="21" max="21" width="6.25" customWidth="1"/>
    <col min="22" max="22" width="10" customWidth="1"/>
    <col min="24" max="24" width="11.125" bestFit="1" customWidth="1"/>
  </cols>
  <sheetData>
    <row r="1" spans="1:25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25" ht="18" x14ac:dyDescent="0.25">
      <c r="A2" s="100" t="s">
        <v>97</v>
      </c>
      <c r="B2" s="100"/>
      <c r="C2" s="100" t="s">
        <v>196</v>
      </c>
      <c r="D2" s="101"/>
      <c r="E2" s="99"/>
      <c r="F2" s="99"/>
      <c r="G2" s="99"/>
      <c r="H2" s="99"/>
      <c r="I2" s="99"/>
      <c r="J2" s="99"/>
      <c r="K2" s="99"/>
      <c r="L2" s="99"/>
      <c r="X2" s="61"/>
    </row>
    <row r="3" spans="1:25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R3" s="52"/>
      <c r="X3" s="61"/>
    </row>
    <row r="4" spans="1:2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R4" s="52"/>
      <c r="X4" s="61"/>
    </row>
    <row r="5" spans="1:25" ht="18" x14ac:dyDescent="0.25">
      <c r="A5" s="113" t="s">
        <v>106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R5" s="52"/>
      <c r="X5" s="61"/>
    </row>
    <row r="6" spans="1:25" ht="15" x14ac:dyDescent="0.25">
      <c r="B6" s="49" t="s">
        <v>67</v>
      </c>
      <c r="C6" t="s">
        <v>168</v>
      </c>
      <c r="D6" s="49" t="s">
        <v>95</v>
      </c>
      <c r="E6">
        <v>52994688</v>
      </c>
      <c r="G6" s="49" t="s">
        <v>64</v>
      </c>
      <c r="H6" s="51">
        <v>43402</v>
      </c>
      <c r="I6" s="49" t="s">
        <v>65</v>
      </c>
      <c r="J6" s="52">
        <v>0.5</v>
      </c>
      <c r="R6" s="52"/>
      <c r="X6" s="61"/>
    </row>
    <row r="7" spans="1:25" ht="15.75" customHeight="1" x14ac:dyDescent="0.25">
      <c r="B7" s="49" t="s">
        <v>66</v>
      </c>
      <c r="C7" t="s">
        <v>197</v>
      </c>
      <c r="D7" s="49" t="s">
        <v>95</v>
      </c>
      <c r="E7">
        <v>314361015</v>
      </c>
      <c r="F7" s="139" t="s">
        <v>71</v>
      </c>
      <c r="G7" s="139"/>
      <c r="H7" s="53" t="s">
        <v>198</v>
      </c>
      <c r="I7" s="49" t="s">
        <v>169</v>
      </c>
      <c r="J7">
        <v>239872</v>
      </c>
      <c r="R7" s="52"/>
      <c r="X7" s="61"/>
    </row>
    <row r="8" spans="1:25" ht="15" x14ac:dyDescent="0.2">
      <c r="B8" s="133" t="s">
        <v>167</v>
      </c>
      <c r="C8" s="134" t="s">
        <v>199</v>
      </c>
      <c r="D8" s="133" t="s">
        <v>70</v>
      </c>
      <c r="E8" s="135">
        <f>F42</f>
        <v>22650</v>
      </c>
      <c r="F8" s="136"/>
      <c r="G8" s="133" t="s">
        <v>73</v>
      </c>
      <c r="H8" s="132" t="s">
        <v>198</v>
      </c>
      <c r="I8" s="133" t="s">
        <v>75</v>
      </c>
      <c r="J8" s="136" t="s">
        <v>198</v>
      </c>
      <c r="X8" s="61"/>
    </row>
    <row r="9" spans="1:25" ht="15" x14ac:dyDescent="0.25">
      <c r="B9" s="49" t="s">
        <v>68</v>
      </c>
      <c r="C9" s="53" t="s">
        <v>201</v>
      </c>
      <c r="D9" s="49" t="s">
        <v>69</v>
      </c>
      <c r="E9" s="137">
        <v>32.084372999999999</v>
      </c>
      <c r="G9" s="49" t="s">
        <v>74</v>
      </c>
      <c r="H9" s="53" t="s">
        <v>200</v>
      </c>
      <c r="I9" s="49" t="s">
        <v>76</v>
      </c>
      <c r="J9" s="136">
        <v>512569237</v>
      </c>
      <c r="X9" s="61"/>
    </row>
    <row r="10" spans="1:25" ht="15" x14ac:dyDescent="0.25">
      <c r="B10" s="77" t="s">
        <v>111</v>
      </c>
      <c r="C10" s="53" t="s">
        <v>198</v>
      </c>
      <c r="D10" s="77" t="s">
        <v>112</v>
      </c>
      <c r="E10" t="s">
        <v>198</v>
      </c>
      <c r="G10" s="77" t="s">
        <v>108</v>
      </c>
      <c r="H10" t="s">
        <v>202</v>
      </c>
      <c r="I10" s="77" t="s">
        <v>110</v>
      </c>
      <c r="J10" s="126">
        <v>197</v>
      </c>
      <c r="X10" s="61"/>
    </row>
    <row r="11" spans="1:25" ht="15" x14ac:dyDescent="0.25">
      <c r="B11" s="62" t="s">
        <v>170</v>
      </c>
      <c r="C11">
        <v>4501612599</v>
      </c>
      <c r="D11" s="62"/>
      <c r="G11" s="77" t="s">
        <v>109</v>
      </c>
      <c r="H11" s="53" t="s">
        <v>203</v>
      </c>
      <c r="I11" s="48" t="s">
        <v>193</v>
      </c>
      <c r="J11" t="s">
        <v>198</v>
      </c>
      <c r="X11" s="61"/>
    </row>
    <row r="12" spans="1:25" ht="18" x14ac:dyDescent="0.25">
      <c r="A12" s="113" t="s">
        <v>107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X12" s="61"/>
    </row>
    <row r="13" spans="1:25" ht="9" customHeight="1" thickBot="1" x14ac:dyDescent="0.25">
      <c r="U13" s="2"/>
      <c r="V13" s="1"/>
      <c r="X13" s="61"/>
    </row>
    <row r="14" spans="1:25" ht="15.75" thickBot="1" x14ac:dyDescent="0.3">
      <c r="A14" s="81"/>
      <c r="B14" s="82" t="s">
        <v>54</v>
      </c>
      <c r="C14" s="82" t="s">
        <v>91</v>
      </c>
      <c r="D14" s="83" t="s">
        <v>44</v>
      </c>
      <c r="U14" s="2"/>
      <c r="V14" s="1"/>
      <c r="X14" s="61"/>
    </row>
    <row r="15" spans="1:25" x14ac:dyDescent="0.2">
      <c r="A15" s="94">
        <v>1</v>
      </c>
      <c r="B15" s="95" t="str">
        <f>'שקלול הציון'!A4</f>
        <v>סכנת נפילת אדם</v>
      </c>
      <c r="C15" s="67">
        <f t="shared" ref="C15:C21" si="0">IF(Y15="",$Y$24+W15,0)</f>
        <v>0.33666666666666667</v>
      </c>
      <c r="D15" s="68">
        <f>'שקלול הציון'!Q4</f>
        <v>0.17343434343434341</v>
      </c>
      <c r="U15" s="2"/>
      <c r="V15" s="1"/>
      <c r="W15" s="87">
        <v>0.33</v>
      </c>
      <c r="X15" s="88">
        <f t="shared" ref="X15:X21" si="1">IF(Y15="",$Y$24,0)</f>
        <v>6.6666666666666671E-3</v>
      </c>
      <c r="Y15" s="89" t="str">
        <f t="shared" ref="Y15:Y21" si="2">IF(D15=0,W15,"")</f>
        <v/>
      </c>
    </row>
    <row r="16" spans="1:25" x14ac:dyDescent="0.2">
      <c r="A16" s="94">
        <f>A15+1</f>
        <v>2</v>
      </c>
      <c r="B16" s="95" t="str">
        <f>'שקלול הציון'!A12</f>
        <v>סכנת התמוטטות</v>
      </c>
      <c r="C16" s="67">
        <f t="shared" si="0"/>
        <v>0.36666666666666664</v>
      </c>
      <c r="D16" s="68">
        <f>'שקלול הציון'!Q12</f>
        <v>0.29338991769547329</v>
      </c>
      <c r="U16" s="2"/>
      <c r="V16" s="1"/>
      <c r="W16" s="90">
        <v>0.36</v>
      </c>
      <c r="X16" s="91">
        <f t="shared" si="1"/>
        <v>6.6666666666666671E-3</v>
      </c>
      <c r="Y16" s="92" t="str">
        <f t="shared" si="2"/>
        <v/>
      </c>
    </row>
    <row r="17" spans="1:25" x14ac:dyDescent="0.2">
      <c r="A17" s="94">
        <f t="shared" ref="A17:A21" si="3">A16+1</f>
        <v>3</v>
      </c>
      <c r="B17" s="95" t="str">
        <f>'שקלול הציון'!A30</f>
        <v>נפילת חפצים ופסולת מגובה</v>
      </c>
      <c r="C17" s="67">
        <f t="shared" si="0"/>
        <v>8.666666666666667E-2</v>
      </c>
      <c r="D17" s="68">
        <f>'שקלול הציון'!Q30</f>
        <v>8.666666666666667E-2</v>
      </c>
      <c r="U17" s="2"/>
      <c r="V17" s="1"/>
      <c r="W17" s="90">
        <v>0.08</v>
      </c>
      <c r="X17" s="91">
        <f t="shared" si="1"/>
        <v>6.6666666666666671E-3</v>
      </c>
      <c r="Y17" s="92" t="str">
        <f t="shared" si="2"/>
        <v/>
      </c>
    </row>
    <row r="18" spans="1:25" x14ac:dyDescent="0.2">
      <c r="A18" s="94">
        <f t="shared" si="3"/>
        <v>4</v>
      </c>
      <c r="B18" s="95" t="str">
        <f>'שקלול הציון'!A34</f>
        <v>סיכוני שינוע</v>
      </c>
      <c r="C18" s="67">
        <f t="shared" si="0"/>
        <v>7.6666666666666675E-2</v>
      </c>
      <c r="D18" s="68">
        <f>'שקלול הציון'!Q34</f>
        <v>7.6666666666666661E-2</v>
      </c>
      <c r="U18" s="2"/>
      <c r="V18" s="1"/>
      <c r="W18" s="90">
        <v>7.0000000000000007E-2</v>
      </c>
      <c r="X18" s="91">
        <f t="shared" si="1"/>
        <v>6.6666666666666671E-3</v>
      </c>
      <c r="Y18" s="92" t="str">
        <f t="shared" si="2"/>
        <v/>
      </c>
    </row>
    <row r="19" spans="1:25" x14ac:dyDescent="0.2">
      <c r="A19" s="94">
        <f t="shared" si="3"/>
        <v>5</v>
      </c>
      <c r="B19" s="95" t="str">
        <f>'שקלול הציון'!A39</f>
        <v>שימוש בציוד מגן</v>
      </c>
      <c r="C19" s="67">
        <f t="shared" si="0"/>
        <v>5.6666666666666671E-2</v>
      </c>
      <c r="D19" s="68">
        <f>'שקלול הציון'!Q39</f>
        <v>5.6666666666666664E-2</v>
      </c>
      <c r="U19" s="2"/>
      <c r="V19" s="1"/>
      <c r="W19" s="90">
        <v>0.05</v>
      </c>
      <c r="X19" s="91">
        <f t="shared" si="1"/>
        <v>6.6666666666666671E-3</v>
      </c>
      <c r="Y19" s="92" t="str">
        <f t="shared" si="2"/>
        <v/>
      </c>
    </row>
    <row r="20" spans="1:25" x14ac:dyDescent="0.2">
      <c r="A20" s="94">
        <f t="shared" si="3"/>
        <v>6</v>
      </c>
      <c r="B20" s="95" t="str">
        <f>'שקלול הציון'!A42</f>
        <v>רמת ארגון אתר</v>
      </c>
      <c r="C20" s="67">
        <f t="shared" si="0"/>
        <v>7.6666666666666675E-2</v>
      </c>
      <c r="D20" s="68">
        <f>'שקלול הציון'!Q42</f>
        <v>5.01984126984127E-2</v>
      </c>
      <c r="U20" s="2"/>
      <c r="V20" s="1"/>
      <c r="W20" s="90">
        <v>7.0000000000000007E-2</v>
      </c>
      <c r="X20" s="91">
        <f t="shared" si="1"/>
        <v>6.6666666666666671E-3</v>
      </c>
      <c r="Y20" s="92" t="str">
        <f t="shared" si="2"/>
        <v/>
      </c>
    </row>
    <row r="21" spans="1:25" x14ac:dyDescent="0.2">
      <c r="A21" s="94">
        <f t="shared" si="3"/>
        <v>7</v>
      </c>
      <c r="B21" s="95" t="str">
        <f>'שקלול הציון'!A46</f>
        <v>סיכוני עבודה חמה</v>
      </c>
      <c r="C21" s="67">
        <f t="shared" si="0"/>
        <v>0</v>
      </c>
      <c r="D21" s="68">
        <f>'שקלול הציון'!Q46</f>
        <v>0</v>
      </c>
      <c r="U21" s="2"/>
      <c r="V21" s="1"/>
      <c r="W21" s="90">
        <v>0.04</v>
      </c>
      <c r="X21" s="91">
        <f t="shared" si="1"/>
        <v>0</v>
      </c>
      <c r="Y21" s="92">
        <f t="shared" si="2"/>
        <v>0.04</v>
      </c>
    </row>
    <row r="22" spans="1:25" ht="15" thickBot="1" x14ac:dyDescent="0.25">
      <c r="A22" s="102"/>
      <c r="B22" s="102" t="s">
        <v>92</v>
      </c>
      <c r="C22" s="103">
        <f>SUM(C15:C21)</f>
        <v>1</v>
      </c>
      <c r="D22" s="104">
        <f>SUM(D15:D21)</f>
        <v>0.73702267382822939</v>
      </c>
      <c r="U22" s="2"/>
      <c r="V22" s="1"/>
      <c r="W22" s="3"/>
      <c r="X22" s="91">
        <f>SUM(X15:X21)</f>
        <v>0.04</v>
      </c>
      <c r="Y22" s="93">
        <f>SUM(Y15:Y21)</f>
        <v>0.04</v>
      </c>
    </row>
    <row r="23" spans="1:25" ht="15" thickBot="1" x14ac:dyDescent="0.25">
      <c r="U23" s="2"/>
      <c r="V23" s="1"/>
      <c r="W23" s="3"/>
      <c r="X23" s="63"/>
      <c r="Y23" s="92">
        <f>COUNT(Y15:Y21)</f>
        <v>1</v>
      </c>
    </row>
    <row r="24" spans="1:25" ht="15.75" customHeight="1" thickBot="1" x14ac:dyDescent="0.25">
      <c r="A24" s="116"/>
      <c r="B24" s="117"/>
      <c r="C24" s="117"/>
      <c r="D24" s="118"/>
      <c r="R24" s="52"/>
      <c r="W24" s="64"/>
      <c r="X24" s="65"/>
      <c r="Y24" s="66">
        <f>Y22/(7-Y23)</f>
        <v>6.6666666666666671E-3</v>
      </c>
    </row>
    <row r="25" spans="1:25" ht="15" customHeight="1" x14ac:dyDescent="0.2">
      <c r="A25" s="119"/>
      <c r="B25" s="96"/>
      <c r="C25" s="96"/>
      <c r="D25" s="120"/>
      <c r="R25" s="52"/>
      <c r="W25" s="75"/>
      <c r="X25" s="61"/>
    </row>
    <row r="26" spans="1:25" ht="15" customHeight="1" x14ac:dyDescent="0.2">
      <c r="A26" s="119"/>
      <c r="B26" s="96" t="s">
        <v>72</v>
      </c>
      <c r="C26" s="96" t="str">
        <f>IF(D22&gt;0.8,"גבוהה",IF(D22&lt;0.4,"נמוכה","בינונית"))</f>
        <v>בינונית</v>
      </c>
      <c r="D26" s="120"/>
      <c r="R26" s="52"/>
      <c r="W26" s="75"/>
      <c r="X26" s="61"/>
    </row>
    <row r="27" spans="1:25" ht="23.25" x14ac:dyDescent="0.2">
      <c r="A27" s="121"/>
      <c r="B27" s="97"/>
      <c r="C27" s="97"/>
      <c r="D27" s="120"/>
      <c r="R27" s="52"/>
      <c r="W27" s="75"/>
      <c r="X27" s="61"/>
    </row>
    <row r="28" spans="1:25" ht="15" thickBot="1" x14ac:dyDescent="0.25">
      <c r="A28" s="122"/>
      <c r="B28" s="123"/>
      <c r="C28" s="123"/>
      <c r="D28" s="124"/>
      <c r="R28" s="52"/>
      <c r="W28" s="75"/>
      <c r="X28" s="61"/>
    </row>
    <row r="29" spans="1:25" x14ac:dyDescent="0.2">
      <c r="R29" s="52"/>
      <c r="W29" s="75"/>
      <c r="X29" s="61"/>
    </row>
    <row r="30" spans="1:25" x14ac:dyDescent="0.2">
      <c r="R30" s="52"/>
      <c r="W30" s="75"/>
      <c r="X30" s="61"/>
    </row>
    <row r="31" spans="1:25" x14ac:dyDescent="0.2">
      <c r="R31" s="52"/>
      <c r="W31" s="75"/>
      <c r="X31" s="61"/>
    </row>
    <row r="32" spans="1:25" x14ac:dyDescent="0.2">
      <c r="R32" s="52"/>
      <c r="W32" s="75"/>
      <c r="X32" s="61"/>
    </row>
    <row r="33" spans="1:12" ht="18" x14ac:dyDescent="0.25">
      <c r="A33" s="113" t="s">
        <v>93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7.5" customHeight="1" thickBot="1" x14ac:dyDescent="0.3">
      <c r="A34" s="76"/>
    </row>
    <row r="35" spans="1:12" ht="28.5" x14ac:dyDescent="0.2">
      <c r="B35" s="78" t="s">
        <v>77</v>
      </c>
      <c r="C35" s="79" t="s">
        <v>78</v>
      </c>
      <c r="D35" s="79" t="s">
        <v>79</v>
      </c>
      <c r="E35" s="79" t="s">
        <v>81</v>
      </c>
      <c r="F35" s="80" t="s">
        <v>80</v>
      </c>
    </row>
    <row r="36" spans="1:12" x14ac:dyDescent="0.2">
      <c r="B36" s="183" t="s">
        <v>204</v>
      </c>
      <c r="C36" s="71" t="s">
        <v>192</v>
      </c>
      <c r="D36" s="71">
        <v>5</v>
      </c>
      <c r="E36" s="71">
        <v>300</v>
      </c>
      <c r="F36" s="72">
        <f>E36*D36</f>
        <v>1500</v>
      </c>
    </row>
    <row r="37" spans="1:12" x14ac:dyDescent="0.2">
      <c r="B37" s="70" t="s">
        <v>205</v>
      </c>
      <c r="C37" s="71" t="s">
        <v>195</v>
      </c>
      <c r="D37" s="71">
        <v>47</v>
      </c>
      <c r="E37" s="71">
        <v>450</v>
      </c>
      <c r="F37" s="72">
        <f t="shared" ref="F37:F41" si="4">E37*D37</f>
        <v>21150</v>
      </c>
    </row>
    <row r="38" spans="1:12" x14ac:dyDescent="0.2">
      <c r="B38" s="70"/>
      <c r="C38" s="71"/>
      <c r="D38" s="71"/>
      <c r="E38" s="71"/>
      <c r="F38" s="72"/>
    </row>
    <row r="39" spans="1:12" x14ac:dyDescent="0.2">
      <c r="B39" s="130"/>
      <c r="C39" s="131"/>
      <c r="D39" s="131"/>
      <c r="E39" s="131"/>
      <c r="F39" s="72"/>
    </row>
    <row r="40" spans="1:12" x14ac:dyDescent="0.2">
      <c r="B40" s="130"/>
      <c r="C40" s="131"/>
      <c r="D40" s="131"/>
      <c r="E40" s="131"/>
      <c r="F40" s="72"/>
    </row>
    <row r="41" spans="1:12" ht="15" thickBot="1" x14ac:dyDescent="0.25">
      <c r="B41" s="69"/>
      <c r="C41" s="73"/>
      <c r="D41" s="73"/>
      <c r="E41" s="73"/>
      <c r="F41" s="74"/>
    </row>
    <row r="42" spans="1:12" ht="15.75" thickBot="1" x14ac:dyDescent="0.3">
      <c r="C42" s="49"/>
      <c r="D42" s="53"/>
      <c r="E42" s="105" t="s">
        <v>92</v>
      </c>
      <c r="F42" s="106">
        <f>SUM(F36:F41)</f>
        <v>22650</v>
      </c>
    </row>
    <row r="43" spans="1:12" ht="15" x14ac:dyDescent="0.25">
      <c r="C43" s="77"/>
      <c r="D43" s="53"/>
      <c r="F43" s="77"/>
    </row>
    <row r="44" spans="1:12" ht="18" x14ac:dyDescent="0.25">
      <c r="A44" s="113" t="s">
        <v>82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1:12" ht="9" customHeight="1" thickBot="1" x14ac:dyDescent="0.3">
      <c r="A45" s="76"/>
      <c r="E45" s="48"/>
    </row>
    <row r="46" spans="1:12" ht="15" x14ac:dyDescent="0.25">
      <c r="B46" s="84" t="s">
        <v>83</v>
      </c>
      <c r="C46" s="111" t="s">
        <v>84</v>
      </c>
      <c r="D46" s="85" t="s">
        <v>85</v>
      </c>
      <c r="E46" s="48"/>
    </row>
    <row r="47" spans="1:12" ht="15" x14ac:dyDescent="0.25">
      <c r="B47" s="70" t="s">
        <v>86</v>
      </c>
      <c r="C47" s="108">
        <v>7</v>
      </c>
      <c r="D47" s="138" t="s">
        <v>194</v>
      </c>
      <c r="E47" s="48"/>
    </row>
    <row r="48" spans="1:12" ht="15" x14ac:dyDescent="0.25">
      <c r="B48" s="70" t="s">
        <v>87</v>
      </c>
      <c r="C48" s="108"/>
      <c r="D48" s="72"/>
      <c r="E48" s="48"/>
    </row>
    <row r="49" spans="1:12" ht="15" x14ac:dyDescent="0.25">
      <c r="B49" s="70" t="s">
        <v>88</v>
      </c>
      <c r="C49" s="108"/>
      <c r="D49" s="72"/>
      <c r="E49" s="48"/>
    </row>
    <row r="50" spans="1:12" ht="15" x14ac:dyDescent="0.25">
      <c r="B50" s="70" t="s">
        <v>89</v>
      </c>
      <c r="C50" s="108"/>
      <c r="D50" s="72"/>
      <c r="E50" s="48"/>
    </row>
    <row r="51" spans="1:12" ht="15.75" thickBot="1" x14ac:dyDescent="0.3">
      <c r="B51" s="69" t="s">
        <v>90</v>
      </c>
      <c r="C51" s="109"/>
      <c r="D51" s="74"/>
      <c r="E51" s="48"/>
    </row>
    <row r="52" spans="1:12" ht="15.75" thickBot="1" x14ac:dyDescent="0.3">
      <c r="B52" s="107" t="s">
        <v>105</v>
      </c>
      <c r="C52" s="110">
        <f>SUM(C47:C51)</f>
        <v>7</v>
      </c>
      <c r="E52" s="48"/>
    </row>
    <row r="53" spans="1:12" ht="15" x14ac:dyDescent="0.25">
      <c r="C53" s="77"/>
      <c r="E53" s="48"/>
    </row>
    <row r="54" spans="1:12" ht="15" x14ac:dyDescent="0.25">
      <c r="E54" s="48"/>
    </row>
    <row r="55" spans="1:12" ht="18" x14ac:dyDescent="0.25">
      <c r="A55" s="113" t="s">
        <v>94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1:12" ht="7.5" customHeight="1" thickBot="1" x14ac:dyDescent="0.3">
      <c r="A56" s="76"/>
      <c r="B56" s="48"/>
      <c r="E56" s="48"/>
    </row>
    <row r="57" spans="1:12" x14ac:dyDescent="0.2">
      <c r="B57" s="140" t="s">
        <v>207</v>
      </c>
      <c r="C57" s="141"/>
      <c r="D57" s="141"/>
      <c r="E57" s="141"/>
      <c r="F57" s="141"/>
      <c r="G57" s="141"/>
      <c r="H57" s="141"/>
      <c r="I57" s="141"/>
      <c r="J57" s="141"/>
      <c r="K57" s="142"/>
    </row>
    <row r="58" spans="1:12" x14ac:dyDescent="0.2">
      <c r="B58" s="143"/>
      <c r="C58" s="144"/>
      <c r="D58" s="144"/>
      <c r="E58" s="144"/>
      <c r="F58" s="144"/>
      <c r="G58" s="144"/>
      <c r="H58" s="144"/>
      <c r="I58" s="144"/>
      <c r="J58" s="144"/>
      <c r="K58" s="145"/>
    </row>
    <row r="59" spans="1:12" x14ac:dyDescent="0.2">
      <c r="B59" s="143"/>
      <c r="C59" s="144"/>
      <c r="D59" s="144"/>
      <c r="E59" s="144"/>
      <c r="F59" s="144"/>
      <c r="G59" s="144"/>
      <c r="H59" s="144"/>
      <c r="I59" s="144"/>
      <c r="J59" s="144"/>
      <c r="K59" s="145"/>
    </row>
    <row r="60" spans="1:12" x14ac:dyDescent="0.2">
      <c r="B60" s="143"/>
      <c r="C60" s="144"/>
      <c r="D60" s="144"/>
      <c r="E60" s="144"/>
      <c r="F60" s="144"/>
      <c r="G60" s="144"/>
      <c r="H60" s="144"/>
      <c r="I60" s="144"/>
      <c r="J60" s="144"/>
      <c r="K60" s="145"/>
    </row>
    <row r="61" spans="1:12" x14ac:dyDescent="0.2">
      <c r="B61" s="143"/>
      <c r="C61" s="144"/>
      <c r="D61" s="144"/>
      <c r="E61" s="144"/>
      <c r="F61" s="144"/>
      <c r="G61" s="144"/>
      <c r="H61" s="144"/>
      <c r="I61" s="144"/>
      <c r="J61" s="144"/>
      <c r="K61" s="145"/>
    </row>
    <row r="62" spans="1:12" ht="15" thickBot="1" x14ac:dyDescent="0.25">
      <c r="B62" s="146"/>
      <c r="C62" s="147"/>
      <c r="D62" s="147"/>
      <c r="E62" s="147"/>
      <c r="F62" s="147"/>
      <c r="G62" s="147"/>
      <c r="H62" s="147"/>
      <c r="I62" s="147"/>
      <c r="J62" s="147"/>
      <c r="K62" s="148"/>
    </row>
    <row r="64" spans="1:12" ht="18" x14ac:dyDescent="0.25">
      <c r="A64" s="113" t="s">
        <v>99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</row>
    <row r="65" spans="1:12" ht="9" customHeight="1" x14ac:dyDescent="0.2"/>
    <row r="66" spans="1:12" s="98" customFormat="1" ht="21.75" customHeight="1" x14ac:dyDescent="0.2">
      <c r="B66" s="98" t="s">
        <v>100</v>
      </c>
      <c r="G66" s="98" t="s">
        <v>102</v>
      </c>
    </row>
    <row r="67" spans="1:12" s="98" customFormat="1" ht="21.75" customHeight="1" x14ac:dyDescent="0.2">
      <c r="B67" s="98" t="s">
        <v>98</v>
      </c>
      <c r="G67" s="98" t="s">
        <v>103</v>
      </c>
    </row>
    <row r="68" spans="1:12" s="98" customFormat="1" ht="21.75" customHeight="1" x14ac:dyDescent="0.2">
      <c r="B68" s="98" t="s">
        <v>101</v>
      </c>
      <c r="G68" s="98" t="s">
        <v>104</v>
      </c>
    </row>
    <row r="71" spans="1:12" x14ac:dyDescent="0.2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2" ht="18" x14ac:dyDescent="0.25">
      <c r="A72" s="100"/>
      <c r="B72" s="100"/>
      <c r="C72" s="99"/>
      <c r="D72" s="101"/>
      <c r="E72" s="99"/>
      <c r="F72" s="99"/>
      <c r="G72" s="99"/>
      <c r="H72" s="99"/>
      <c r="I72" s="99"/>
      <c r="J72" s="99"/>
      <c r="K72" s="99"/>
      <c r="L72" s="99"/>
    </row>
    <row r="73" spans="1:12" x14ac:dyDescent="0.2">
      <c r="A73" s="99" t="s">
        <v>96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1:12" x14ac:dyDescent="0.2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</row>
  </sheetData>
  <mergeCells count="2">
    <mergeCell ref="F7:G7"/>
    <mergeCell ref="B57:K62"/>
  </mergeCells>
  <conditionalFormatting sqref="D25 A24:D24 A26:D28">
    <cfRule type="expression" dxfId="5" priority="7">
      <formula>$C$26="גבוהה"</formula>
    </cfRule>
    <cfRule type="expression" dxfId="4" priority="8">
      <formula>$C$26="בינונית"</formula>
    </cfRule>
    <cfRule type="expression" dxfId="3" priority="9">
      <formula>$C$26="נמוכה"</formula>
    </cfRule>
  </conditionalFormatting>
  <conditionalFormatting sqref="A25:C25">
    <cfRule type="expression" dxfId="2" priority="1">
      <formula>$C$26="גבוהה"</formula>
    </cfRule>
    <cfRule type="expression" dxfId="1" priority="2">
      <formula>$C$26="בינונית"</formula>
    </cfRule>
    <cfRule type="expression" dxfId="0" priority="3">
      <formula>$C$26="נמוכה"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rightToLeft="1" workbookViewId="0">
      <selection activeCell="U49" sqref="U49"/>
    </sheetView>
  </sheetViews>
  <sheetFormatPr defaultRowHeight="14.25" outlineLevelCol="1" x14ac:dyDescent="0.2"/>
  <cols>
    <col min="1" max="1" width="22.625" bestFit="1" customWidth="1"/>
    <col min="2" max="2" width="9.375" customWidth="1"/>
    <col min="3" max="3" width="23.875" customWidth="1"/>
    <col min="4" max="4" width="10.625" bestFit="1" customWidth="1"/>
    <col min="5" max="5" width="33.25" customWidth="1"/>
    <col min="6" max="6" width="7.375" customWidth="1"/>
    <col min="7" max="7" width="6.25" bestFit="1" customWidth="1"/>
    <col min="8" max="8" width="3.625" hidden="1" customWidth="1" outlineLevel="1"/>
    <col min="9" max="9" width="4.625" hidden="1" customWidth="1" outlineLevel="1"/>
    <col min="10" max="10" width="7.875" bestFit="1" customWidth="1" collapsed="1"/>
    <col min="11" max="11" width="5" hidden="1" customWidth="1" outlineLevel="1"/>
    <col min="12" max="12" width="3.625" hidden="1" customWidth="1" outlineLevel="1"/>
    <col min="13" max="13" width="2" hidden="1" customWidth="1" outlineLevel="1"/>
    <col min="14" max="14" width="6.75" customWidth="1" collapsed="1"/>
    <col min="15" max="15" width="2" hidden="1" customWidth="1" outlineLevel="1"/>
    <col min="16" max="16" width="5" hidden="1" customWidth="1" outlineLevel="1"/>
    <col min="17" max="17" width="10.75" bestFit="1" customWidth="1" collapsed="1"/>
  </cols>
  <sheetData>
    <row r="1" spans="1:21" ht="18" x14ac:dyDescent="0.25">
      <c r="A1" s="86" t="s">
        <v>113</v>
      </c>
      <c r="B1" s="129" t="s">
        <v>206</v>
      </c>
      <c r="C1" s="50"/>
    </row>
    <row r="2" spans="1:21" ht="15.75" thickBot="1" x14ac:dyDescent="0.3">
      <c r="B2" s="49"/>
      <c r="C2" s="53"/>
      <c r="D2" s="48"/>
      <c r="Q2" s="52"/>
    </row>
    <row r="3" spans="1:21" ht="45.75" thickBot="1" x14ac:dyDescent="0.3">
      <c r="A3" s="11" t="s">
        <v>54</v>
      </c>
      <c r="B3" s="12" t="s">
        <v>61</v>
      </c>
      <c r="C3" s="12" t="s">
        <v>60</v>
      </c>
      <c r="D3" s="12" t="s">
        <v>62</v>
      </c>
      <c r="E3" s="12" t="s">
        <v>59</v>
      </c>
      <c r="F3" s="12" t="s">
        <v>63</v>
      </c>
      <c r="G3" s="12" t="s">
        <v>55</v>
      </c>
      <c r="H3" s="12"/>
      <c r="I3" s="12"/>
      <c r="J3" s="12" t="s">
        <v>56</v>
      </c>
      <c r="K3" s="12"/>
      <c r="L3" s="12"/>
      <c r="M3" s="12"/>
      <c r="N3" s="12" t="s">
        <v>58</v>
      </c>
      <c r="O3" s="12"/>
      <c r="P3" s="12"/>
      <c r="Q3" s="13" t="s">
        <v>57</v>
      </c>
    </row>
    <row r="4" spans="1:21" ht="15" x14ac:dyDescent="0.25">
      <c r="A4" s="158" t="s">
        <v>0</v>
      </c>
      <c r="B4" s="161">
        <v>0.33</v>
      </c>
      <c r="C4" s="175" t="s">
        <v>7</v>
      </c>
      <c r="D4" s="177">
        <v>0.1</v>
      </c>
      <c r="E4" s="7" t="s">
        <v>34</v>
      </c>
      <c r="F4" s="14">
        <v>7.0000000000000007E-2</v>
      </c>
      <c r="G4" s="15">
        <f>IF(COUNTIFS('ליקויים מהמערכת'!$G:$G,$B$1,'ליקויים מהמערכת'!$C:$C,REPLACE(E4,1,0,"ליקוי ל: "))=0,"",SUMIFS('ליקויים מהמערכת'!$H:$H,'ליקויים מהמערכת'!$G:$G,$B$1,'ליקויים מהמערכת'!$C:$C,REPLACE(E4,1,0,"ליקוי ל: "))/100/COUNTIFS('ליקויים מהמערכת'!$G:$G,$B$1,'ליקויים מהמערכת'!$C:$C,REPLACE(E4,1,0,"ליקוי ל: ")))</f>
        <v>0.70833333333333337</v>
      </c>
      <c r="H4" s="16" t="str">
        <f t="shared" ref="H4:H48" si="0">IF(G4="",F4,"")</f>
        <v/>
      </c>
      <c r="I4" s="152">
        <f>SUM(H4:H5)</f>
        <v>0</v>
      </c>
      <c r="J4" s="17">
        <f>IFERROR(IF(G4="","",(F4+I$4/COUNTA(G$4:G$5))*G4),F4*G4)</f>
        <v>4.958333333333334E-2</v>
      </c>
      <c r="K4" s="149" t="str">
        <f>IF(COUNTBLANK(G4:G5)=COUNTA(F4:F5),D4,"")</f>
        <v/>
      </c>
      <c r="L4" s="152">
        <f>IFERROR(SUM(K4:K11)/SUM(M4:M11),0)</f>
        <v>1.3333333333333334E-2</v>
      </c>
      <c r="M4" s="149">
        <f>IF(K4="",1,"")</f>
        <v>1</v>
      </c>
      <c r="N4" s="169">
        <f>SUM(J4:J5)/D4*L$4+SUM(J4:J5)</f>
        <v>7.8861111111111104E-2</v>
      </c>
      <c r="O4" s="149">
        <f>IF(L4&gt;0,1,IF(SUM(M4:M11)=4,1,""))</f>
        <v>1</v>
      </c>
      <c r="P4" s="152" t="str">
        <f>IF(O4="",B4,"")</f>
        <v/>
      </c>
      <c r="Q4" s="155">
        <f>SUM(P4:P48)/SUM(O4:O48)*(SUM(N4:N11)/B4)+SUM(N4:N11)</f>
        <v>0.17343434343434341</v>
      </c>
      <c r="U4">
        <f>COUNTIFS('ליקויים מהמערכת'!$G:$G,$B$1,'ליקויים מהמערכת'!$C:$C,REPLACE(E4,1,0,"ליקוי ל: "))</f>
        <v>6</v>
      </c>
    </row>
    <row r="5" spans="1:21" ht="30" x14ac:dyDescent="0.25">
      <c r="A5" s="159"/>
      <c r="B5" s="162"/>
      <c r="C5" s="176"/>
      <c r="D5" s="173"/>
      <c r="E5" s="4" t="s">
        <v>35</v>
      </c>
      <c r="F5" s="18">
        <v>0.03</v>
      </c>
      <c r="G5" s="19">
        <f>IF(COUNTIFS('ליקויים מהמערכת'!$G:$G,$B$1,'ליקויים מהמערכת'!$C:$C,REPLACE(E5,1,0,"ליקוי ל: "))=0,"",SUMIFS('ליקויים מהמערכת'!$H:$H,'ליקויים מהמערכת'!$G:$G,$B$1,'ליקויים מהמערכת'!$C:$C,REPLACE(E5,1,0,"ליקוי ל: "))/100/COUNTIFS('ליקויים מהמערכת'!$G:$G,$B$1,'ליקויים מהמערכת'!$C:$C,REPLACE(E5,1,0,"ליקוי ל: ")))</f>
        <v>0.66666666666666663</v>
      </c>
      <c r="H5" s="20" t="str">
        <f t="shared" si="0"/>
        <v/>
      </c>
      <c r="I5" s="153"/>
      <c r="J5" s="21">
        <f>IFERROR(IF(G5="","",(F5+I$4/COUNT(G$4:G$5))*G5),F5*G5)</f>
        <v>1.9999999999999997E-2</v>
      </c>
      <c r="K5" s="150"/>
      <c r="L5" s="153"/>
      <c r="M5" s="150"/>
      <c r="N5" s="167"/>
      <c r="O5" s="150"/>
      <c r="P5" s="153"/>
      <c r="Q5" s="156"/>
      <c r="U5">
        <f>COUNTIFS('ליקויים מהמערכת'!$G:$G,$B$1,'ליקויים מהמערכת'!$C:$C,REPLACE(E5,1,0,"ליקוי ל: "))</f>
        <v>6</v>
      </c>
    </row>
    <row r="6" spans="1:21" ht="15" x14ac:dyDescent="0.25">
      <c r="A6" s="159"/>
      <c r="B6" s="162"/>
      <c r="C6" s="178" t="s">
        <v>8</v>
      </c>
      <c r="D6" s="180">
        <v>0.09</v>
      </c>
      <c r="E6" s="4" t="s">
        <v>36</v>
      </c>
      <c r="F6" s="18">
        <v>0.05</v>
      </c>
      <c r="G6" s="19">
        <f>IF(COUNTIFS('ליקויים מהמערכת'!$G:$G,$B$1,'ליקויים מהמערכת'!$C:$C,REPLACE(E6,1,0,"ליקוי ל: "))=0,"",SUMIFS('ליקויים מהמערכת'!$H:$H,'ליקויים מהמערכת'!$G:$G,$B$1,'ליקויים מהמערכת'!$C:$C,REPLACE(E6,1,0,"ליקוי ל: "))/100/COUNTIFS('ליקויים מהמערכת'!$G:$G,$B$1,'ליקויים מהמערכת'!$C:$C,REPLACE(E6,1,0,"ליקוי ל: ")))</f>
        <v>0</v>
      </c>
      <c r="H6" s="20" t="str">
        <f t="shared" si="0"/>
        <v/>
      </c>
      <c r="I6" s="153">
        <f>SUM(H6:H7)</f>
        <v>0.04</v>
      </c>
      <c r="J6" s="21">
        <f>IFERROR(IF(G6="","",(F6+I$6/COUNT(G$6:G$7))*G6),F6*G6)</f>
        <v>0</v>
      </c>
      <c r="K6" s="150" t="str">
        <f>IF(COUNTBLANK(G6:G7)=COUNTA(F6:F7),D6,"")</f>
        <v/>
      </c>
      <c r="L6" s="153"/>
      <c r="M6" s="150">
        <f>IF(K6="",1,"")</f>
        <v>1</v>
      </c>
      <c r="N6" s="167">
        <f>SUM(J6:J7)/D6*L$4+SUM(J6:J7)</f>
        <v>0</v>
      </c>
      <c r="O6" s="150"/>
      <c r="P6" s="153"/>
      <c r="Q6" s="156"/>
      <c r="U6">
        <f>COUNTIFS('ליקויים מהמערכת'!$G:$G,$B$1,'ליקויים מהמערכת'!$C:$C,REPLACE(E6,1,0,"ליקוי ל: "))</f>
        <v>1</v>
      </c>
    </row>
    <row r="7" spans="1:21" ht="15" x14ac:dyDescent="0.25">
      <c r="A7" s="159"/>
      <c r="B7" s="162"/>
      <c r="C7" s="179"/>
      <c r="D7" s="181"/>
      <c r="E7" s="125" t="s">
        <v>133</v>
      </c>
      <c r="F7" s="22">
        <v>0.04</v>
      </c>
      <c r="G7" s="19" t="str">
        <f>IF(COUNTIFS('ליקויים מהמערכת'!$G:$G,$B$1,'ליקויים מהמערכת'!$C:$C,REPLACE(E7,1,0,"ליקוי ל: "))=0,"",SUMIFS('ליקויים מהמערכת'!$H:$H,'ליקויים מהמערכת'!$G:$G,$B$1,'ליקויים מהמערכת'!$C:$C,REPLACE(E7,1,0,"ליקוי ל: "))/100/COUNTIFS('ליקויים מהמערכת'!$G:$G,$B$1,'ליקויים מהמערכת'!$C:$C,REPLACE(E7,1,0,"ליקוי ל: ")))</f>
        <v/>
      </c>
      <c r="H7" s="20">
        <f t="shared" si="0"/>
        <v>0.04</v>
      </c>
      <c r="I7" s="153"/>
      <c r="J7" s="21" t="str">
        <f>IFERROR(IF(G7="","",(F7+I$6/COUNT(G$6:G$7))*G7),F7*G7)</f>
        <v/>
      </c>
      <c r="K7" s="150"/>
      <c r="L7" s="153"/>
      <c r="M7" s="150"/>
      <c r="N7" s="167"/>
      <c r="O7" s="150"/>
      <c r="P7" s="153"/>
      <c r="Q7" s="156"/>
      <c r="U7">
        <f>COUNTIFS('ליקויים מהמערכת'!$G:$G,$B$1,'ליקויים מהמערכת'!$C:$C,REPLACE(E7,1,0,"ליקוי ל: "))</f>
        <v>0</v>
      </c>
    </row>
    <row r="8" spans="1:21" ht="15" x14ac:dyDescent="0.25">
      <c r="A8" s="159"/>
      <c r="B8" s="162"/>
      <c r="C8" s="176" t="s">
        <v>9</v>
      </c>
      <c r="D8" s="173">
        <v>0.1</v>
      </c>
      <c r="E8" s="4" t="s">
        <v>37</v>
      </c>
      <c r="F8" s="22">
        <v>7.0000000000000007E-2</v>
      </c>
      <c r="G8" s="19">
        <f>IF(COUNTIFS('ליקויים מהמערכת'!$G:$G,$B$1,'ליקויים מהמערכת'!$C:$C,REPLACE(E8,1,0,"ליקוי ל: "))=0,"",SUMIFS('ליקויים מהמערכת'!$H:$H,'ליקויים מהמערכת'!$G:$G,$B$1,'ליקויים מהמערכת'!$C:$C,REPLACE(E8,1,0,"ליקוי ל: "))/100/COUNTIFS('ליקויים מהמערכת'!$G:$G,$B$1,'ליקויים מהמערכת'!$C:$C,REPLACE(E8,1,0,"ליקוי ל: ")))</f>
        <v>0.79166666666666663</v>
      </c>
      <c r="H8" s="20" t="str">
        <f t="shared" si="0"/>
        <v/>
      </c>
      <c r="I8" s="153">
        <f>SUM(H8:H9)</f>
        <v>0</v>
      </c>
      <c r="J8" s="21">
        <f>IFERROR(IF(G8="","",(F8+I$8/COUNT(G$8:G$9))*G8),F8*G8)</f>
        <v>5.541666666666667E-2</v>
      </c>
      <c r="K8" s="150" t="str">
        <f>IF(COUNTBLANK(G8:G9)=COUNTA(F8:F9),D8,"")</f>
        <v/>
      </c>
      <c r="L8" s="153"/>
      <c r="M8" s="150">
        <f>IF(K8="",1,"")</f>
        <v>1</v>
      </c>
      <c r="N8" s="167">
        <f>SUM(J8:J9)/D8*L$4+SUM(J8:J9)</f>
        <v>9.113888888888888E-2</v>
      </c>
      <c r="O8" s="150"/>
      <c r="P8" s="153"/>
      <c r="Q8" s="156"/>
      <c r="U8">
        <f>COUNTIFS('ליקויים מהמערכת'!$G:$G,$B$1,'ליקויים מהמערכת'!$C:$C,REPLACE(E8,1,0,"ליקוי ל: "))</f>
        <v>6</v>
      </c>
    </row>
    <row r="9" spans="1:21" ht="30" x14ac:dyDescent="0.25">
      <c r="A9" s="159"/>
      <c r="B9" s="162"/>
      <c r="C9" s="176"/>
      <c r="D9" s="173"/>
      <c r="E9" s="4" t="s">
        <v>38</v>
      </c>
      <c r="F9" s="18">
        <v>0.03</v>
      </c>
      <c r="G9" s="19">
        <f>IF(COUNTIFS('ליקויים מהמערכת'!$G:$G,$B$1,'ליקויים מהמערכת'!$C:$C,REPLACE(E9,1,0,"ליקוי ל: "))=0,"",SUMIFS('ליקויים מהמערכת'!$H:$H,'ליקויים מהמערכת'!$G:$G,$B$1,'ליקויים מהמערכת'!$C:$C,REPLACE(E9,1,0,"ליקוי ל: "))/100/COUNTIFS('ליקויים מהמערכת'!$G:$G,$B$1,'ליקויים מהמערכת'!$C:$C,REPLACE(E9,1,0,"ליקוי ל: ")))</f>
        <v>0.83333333333333337</v>
      </c>
      <c r="H9" s="20" t="str">
        <f t="shared" si="0"/>
        <v/>
      </c>
      <c r="I9" s="153"/>
      <c r="J9" s="21">
        <f>IFERROR(IF(G9="","",(F9+I$8/COUNT(G$8:G$9))*G9),F9*G9)</f>
        <v>2.5000000000000001E-2</v>
      </c>
      <c r="K9" s="150"/>
      <c r="L9" s="153"/>
      <c r="M9" s="150"/>
      <c r="N9" s="167"/>
      <c r="O9" s="150"/>
      <c r="P9" s="153"/>
      <c r="Q9" s="156"/>
      <c r="U9">
        <f>COUNTIFS('ליקויים מהמערכת'!$G:$G,$B$1,'ליקויים מהמערכת'!$C:$C,REPLACE(E9,1,0,"ליקוי ל: "))</f>
        <v>6</v>
      </c>
    </row>
    <row r="10" spans="1:21" ht="15" x14ac:dyDescent="0.25">
      <c r="A10" s="159"/>
      <c r="B10" s="162"/>
      <c r="C10" s="176" t="s">
        <v>10</v>
      </c>
      <c r="D10" s="173">
        <v>0.04</v>
      </c>
      <c r="E10" s="4" t="s">
        <v>134</v>
      </c>
      <c r="F10" s="22">
        <v>0.02</v>
      </c>
      <c r="G10" s="23" t="str">
        <f>IF(COUNTIFS('ליקויים מהמערכת'!$G:$G,$B$1,'ליקויים מהמערכת'!$C:$C,REPLACE(E10,1,0,"ליקוי ל: "))=0,"",SUMIFS('ליקויים מהמערכת'!$H:$H,'ליקויים מהמערכת'!$G:$G,$B$1,'ליקויים מהמערכת'!$C:$C,REPLACE(E10,1,0,"ליקוי ל: "))/100/COUNTIFS('ליקויים מהמערכת'!$G:$G,$B$1,'ליקויים מהמערכת'!$C:$C,REPLACE(E10,1,0,"ליקוי ל: ")))</f>
        <v/>
      </c>
      <c r="H10" s="20">
        <f t="shared" si="0"/>
        <v>0.02</v>
      </c>
      <c r="I10" s="153">
        <f>SUM(H10:H11)</f>
        <v>0.04</v>
      </c>
      <c r="J10" s="21" t="str">
        <f>IFERROR(IF(G10="","",(F10+I$10/COUNT(G$10:G$11))*G10),F10*G10)</f>
        <v/>
      </c>
      <c r="K10" s="153">
        <f>IF(COUNTBLANK(G10:G11)=COUNTA(F10:F11),D10,"")</f>
        <v>0.04</v>
      </c>
      <c r="L10" s="153"/>
      <c r="M10" s="150" t="str">
        <f>IF(K10="",1,"")</f>
        <v/>
      </c>
      <c r="N10" s="167">
        <f>SUM(J10:J11)/D10*L$4+SUM(J10:J11)</f>
        <v>0</v>
      </c>
      <c r="O10" s="150"/>
      <c r="P10" s="153"/>
      <c r="Q10" s="156"/>
      <c r="U10">
        <f>COUNTIFS('ליקויים מהמערכת'!$G:$G,$B$1,'ליקויים מהמערכת'!$C:$C,REPLACE(E10,1,0,"ליקוי ל: "))</f>
        <v>0</v>
      </c>
    </row>
    <row r="11" spans="1:21" ht="15.75" thickBot="1" x14ac:dyDescent="0.3">
      <c r="A11" s="160"/>
      <c r="B11" s="163"/>
      <c r="C11" s="182"/>
      <c r="D11" s="174"/>
      <c r="E11" s="8" t="s">
        <v>39</v>
      </c>
      <c r="F11" s="24">
        <v>0.02</v>
      </c>
      <c r="G11" s="25" t="str">
        <f>IF(COUNTIFS('ליקויים מהמערכת'!$G:$G,$B$1,'ליקויים מהמערכת'!$C:$C,REPLACE(E11,1,0,"ליקוי ל: "))=0,"",SUMIFS('ליקויים מהמערכת'!$H:$H,'ליקויים מהמערכת'!$G:$G,$B$1,'ליקויים מהמערכת'!$C:$C,REPLACE(E11,1,0,"ליקוי ל: "))/100/COUNTIFS('ליקויים מהמערכת'!$G:$G,$B$1,'ליקויים מהמערכת'!$C:$C,REPLACE(E11,1,0,"ליקוי ל: ")))</f>
        <v/>
      </c>
      <c r="H11" s="26">
        <f t="shared" si="0"/>
        <v>0.02</v>
      </c>
      <c r="I11" s="154"/>
      <c r="J11" s="27" t="str">
        <f>IFERROR(IF(G11="","",(F11+I$10/COUNT(G$10:G$11))*G11),F11*G11)</f>
        <v/>
      </c>
      <c r="K11" s="154"/>
      <c r="L11" s="154"/>
      <c r="M11" s="151"/>
      <c r="N11" s="168"/>
      <c r="O11" s="151"/>
      <c r="P11" s="154"/>
      <c r="Q11" s="157"/>
      <c r="U11">
        <f>COUNTIFS('ליקויים מהמערכת'!$G:$G,$B$1,'ליקויים מהמערכת'!$C:$C,REPLACE(E11,1,0,"ליקוי ל: "))</f>
        <v>0</v>
      </c>
    </row>
    <row r="12" spans="1:21" ht="30" x14ac:dyDescent="0.25">
      <c r="A12" s="158" t="s">
        <v>1</v>
      </c>
      <c r="B12" s="161">
        <v>0.36</v>
      </c>
      <c r="C12" s="175" t="s">
        <v>11</v>
      </c>
      <c r="D12" s="177">
        <v>0.22</v>
      </c>
      <c r="E12" s="7" t="s">
        <v>40</v>
      </c>
      <c r="F12" s="14">
        <v>0.03</v>
      </c>
      <c r="G12" s="15" t="str">
        <f>IF(COUNTIFS('ליקויים מהמערכת'!$G:$G,$B$1,'ליקויים מהמערכת'!$C:$C,REPLACE(E12,1,0,"ליקוי ל: "))=0,"",SUMIFS('ליקויים מהמערכת'!$H:$H,'ליקויים מהמערכת'!$G:$G,$B$1,'ליקויים מהמערכת'!$C:$C,REPLACE(E12,1,0,"ליקוי ל: "))/100/COUNTIFS('ליקויים מהמערכת'!$G:$G,$B$1,'ליקויים מהמערכת'!$C:$C,REPLACE(E12,1,0,"ליקוי ל: ")))</f>
        <v/>
      </c>
      <c r="H12" s="16">
        <f t="shared" si="0"/>
        <v>0.03</v>
      </c>
      <c r="I12" s="152">
        <f>SUM(H12:H20)</f>
        <v>0.21999999999999995</v>
      </c>
      <c r="J12" s="28" t="str">
        <f t="shared" ref="J12:J20" si="1">IFERROR(IF(G12="","",(F12+I$12/COUNT(G$12:G$20))*G12),F12*G12)</f>
        <v/>
      </c>
      <c r="K12" s="152">
        <f>IF(COUNTBLANK(G12:G20)=COUNTA(F12:F20),D12,"")</f>
        <v>0.22</v>
      </c>
      <c r="L12" s="152">
        <f>IFERROR(SUM(K12:K29)/SUM(M12:M29),0)</f>
        <v>0.15500000000000003</v>
      </c>
      <c r="M12" s="149" t="str">
        <f>IF(K12="",1,"")</f>
        <v/>
      </c>
      <c r="N12" s="169">
        <f>SUM(J12:J20)/D12*L12+SUM(J12:J20)</f>
        <v>0</v>
      </c>
      <c r="O12" s="170">
        <f>IF(L12&gt;0,1,IF(SUM(M12:M29)=6,1,""))</f>
        <v>1</v>
      </c>
      <c r="P12" s="152" t="str">
        <f>IF(O12="",B12,"")</f>
        <v/>
      </c>
      <c r="Q12" s="155">
        <f>SUM(P4:P48)/SUM(O4:O48)*(SUM(N12:N29)/B12)+SUM(N12:N29)</f>
        <v>0.29338991769547329</v>
      </c>
      <c r="U12">
        <f>COUNTIFS('ליקויים מהמערכת'!$G:$G,$B$1,'ליקויים מהמערכת'!$C:$C,REPLACE(E12,1,0,"ליקוי ל: "))</f>
        <v>0</v>
      </c>
    </row>
    <row r="13" spans="1:21" ht="15" x14ac:dyDescent="0.25">
      <c r="A13" s="159"/>
      <c r="B13" s="162"/>
      <c r="C13" s="176"/>
      <c r="D13" s="173"/>
      <c r="E13" s="4" t="s">
        <v>41</v>
      </c>
      <c r="F13" s="18">
        <v>0.03</v>
      </c>
      <c r="G13" s="23" t="str">
        <f>IF(COUNTIFS('ליקויים מהמערכת'!$G:$G,$B$1,'ליקויים מהמערכת'!$C:$C,REPLACE(E13,1,0,"ליקוי ל: "))=0,"",SUMIFS('ליקויים מהמערכת'!$H:$H,'ליקויים מהמערכת'!$G:$G,$B$1,'ליקויים מהמערכת'!$C:$C,REPLACE(E13,1,0,"ליקוי ל: "))/100/COUNTIFS('ליקויים מהמערכת'!$G:$G,$B$1,'ליקויים מהמערכת'!$C:$C,REPLACE(E13,1,0,"ליקוי ל: ")))</f>
        <v/>
      </c>
      <c r="H13" s="20">
        <f t="shared" si="0"/>
        <v>0.03</v>
      </c>
      <c r="I13" s="153"/>
      <c r="J13" s="29" t="str">
        <f t="shared" si="1"/>
        <v/>
      </c>
      <c r="K13" s="153"/>
      <c r="L13" s="153"/>
      <c r="M13" s="150"/>
      <c r="N13" s="167"/>
      <c r="O13" s="171"/>
      <c r="P13" s="153"/>
      <c r="Q13" s="156"/>
      <c r="U13">
        <f>COUNTIFS('ליקויים מהמערכת'!$G:$G,$B$1,'ליקויים מהמערכת'!$C:$C,REPLACE(E13,1,0,"ליקוי ל: "))</f>
        <v>0</v>
      </c>
    </row>
    <row r="14" spans="1:21" ht="30" x14ac:dyDescent="0.25">
      <c r="A14" s="159"/>
      <c r="B14" s="162"/>
      <c r="C14" s="176"/>
      <c r="D14" s="173"/>
      <c r="E14" s="4" t="s">
        <v>42</v>
      </c>
      <c r="F14" s="18">
        <v>0.03</v>
      </c>
      <c r="G14" s="23" t="str">
        <f>IF(COUNTIFS('ליקויים מהמערכת'!$G:$G,$B$1,'ליקויים מהמערכת'!$C:$C,REPLACE(E14,1,0,"ליקוי ל: "))=0,"",SUMIFS('ליקויים מהמערכת'!$H:$H,'ליקויים מהמערכת'!$G:$G,$B$1,'ליקויים מהמערכת'!$C:$C,REPLACE(E14,1,0,"ליקוי ל: "))/100/COUNTIFS('ליקויים מהמערכת'!$G:$G,$B$1,'ליקויים מהמערכת'!$C:$C,REPLACE(E14,1,0,"ליקוי ל: ")))</f>
        <v/>
      </c>
      <c r="H14" s="20">
        <f t="shared" si="0"/>
        <v>0.03</v>
      </c>
      <c r="I14" s="153"/>
      <c r="J14" s="29" t="str">
        <f t="shared" si="1"/>
        <v/>
      </c>
      <c r="K14" s="153"/>
      <c r="L14" s="153"/>
      <c r="M14" s="150"/>
      <c r="N14" s="167"/>
      <c r="O14" s="171"/>
      <c r="P14" s="153"/>
      <c r="Q14" s="156"/>
      <c r="U14">
        <f>COUNTIFS('ליקויים מהמערכת'!$G:$G,$B$1,'ליקויים מהמערכת'!$C:$C,REPLACE(E14,1,0,"ליקוי ל: "))</f>
        <v>0</v>
      </c>
    </row>
    <row r="15" spans="1:21" ht="29.25" x14ac:dyDescent="0.2">
      <c r="A15" s="159"/>
      <c r="B15" s="162"/>
      <c r="C15" s="176"/>
      <c r="D15" s="173"/>
      <c r="E15" s="5" t="s">
        <v>45</v>
      </c>
      <c r="F15" s="22">
        <v>0.03</v>
      </c>
      <c r="G15" s="23" t="str">
        <f>IF(COUNTIFS('ליקויים מהמערכת'!$G:$G,$B$1,'ליקויים מהמערכת'!$C:$C,REPLACE(E15,1,0,"ליקוי ל: "))=0,"",SUMIFS('ליקויים מהמערכת'!$H:$H,'ליקויים מהמערכת'!$G:$G,$B$1,'ליקויים מהמערכת'!$C:$C,REPLACE(E15,1,0,"ליקוי ל: "))/100/COUNTIFS('ליקויים מהמערכת'!$G:$G,$B$1,'ליקויים מהמערכת'!$C:$C,REPLACE(E15,1,0,"ליקוי ל: ")))</f>
        <v/>
      </c>
      <c r="H15" s="20">
        <f t="shared" si="0"/>
        <v>0.03</v>
      </c>
      <c r="I15" s="153"/>
      <c r="J15" s="29" t="str">
        <f t="shared" si="1"/>
        <v/>
      </c>
      <c r="K15" s="153"/>
      <c r="L15" s="153"/>
      <c r="M15" s="150"/>
      <c r="N15" s="167"/>
      <c r="O15" s="171"/>
      <c r="P15" s="153"/>
      <c r="Q15" s="156"/>
      <c r="U15">
        <f>COUNTIFS('ליקויים מהמערכת'!$G:$G,$B$1,'ליקויים מהמערכת'!$C:$C,REPLACE(E15,1,0,"ליקוי ל: "))</f>
        <v>0</v>
      </c>
    </row>
    <row r="16" spans="1:21" ht="30" x14ac:dyDescent="0.25">
      <c r="A16" s="159"/>
      <c r="B16" s="162"/>
      <c r="C16" s="176"/>
      <c r="D16" s="173"/>
      <c r="E16" s="4" t="s">
        <v>164</v>
      </c>
      <c r="F16" s="22">
        <v>0.02</v>
      </c>
      <c r="G16" s="23" t="str">
        <f>IF(COUNTIFS('ליקויים מהמערכת'!$G:$G,$B$1,'ליקויים מהמערכת'!$C:$C,REPLACE(E16,1,0,"ליקוי ל: "))=0,"",SUMIFS('ליקויים מהמערכת'!$H:$H,'ליקויים מהמערכת'!$G:$G,$B$1,'ליקויים מהמערכת'!$C:$C,REPLACE(E16,1,0,"ליקוי ל: "))/100/COUNTIFS('ליקויים מהמערכת'!$G:$G,$B$1,'ליקויים מהמערכת'!$C:$C,REPLACE(E16,1,0,"ליקוי ל: ")))</f>
        <v/>
      </c>
      <c r="H16" s="20">
        <f t="shared" si="0"/>
        <v>0.02</v>
      </c>
      <c r="I16" s="153"/>
      <c r="J16" s="29" t="str">
        <f t="shared" si="1"/>
        <v/>
      </c>
      <c r="K16" s="153"/>
      <c r="L16" s="153"/>
      <c r="M16" s="150"/>
      <c r="N16" s="167"/>
      <c r="O16" s="171"/>
      <c r="P16" s="153"/>
      <c r="Q16" s="156"/>
      <c r="U16">
        <f>COUNTIFS('ליקויים מהמערכת'!$G:$G,$B$1,'ליקויים מהמערכת'!$C:$C,REPLACE(E16,1,0,"ליקוי ל: "))</f>
        <v>0</v>
      </c>
    </row>
    <row r="17" spans="1:21" ht="30" x14ac:dyDescent="0.25">
      <c r="A17" s="159"/>
      <c r="B17" s="162"/>
      <c r="C17" s="176"/>
      <c r="D17" s="173"/>
      <c r="E17" s="5" t="s">
        <v>46</v>
      </c>
      <c r="F17" s="22">
        <v>0.02</v>
      </c>
      <c r="G17" s="23" t="str">
        <f>IF(COUNTIFS('ליקויים מהמערכת'!$G:$G,$B$1,'ליקויים מהמערכת'!$C:$C,REPLACE(E17,1,0,"ליקוי ל: "))=0,"",SUMIFS('ליקויים מהמערכת'!$H:$H,'ליקויים מהמערכת'!$G:$G,$B$1,'ליקויים מהמערכת'!$C:$C,REPLACE(E17,1,0,"ליקוי ל: "))/100/COUNTIFS('ליקויים מהמערכת'!$G:$G,$B$1,'ליקויים מהמערכת'!$C:$C,REPLACE(E17,1,0,"ליקוי ל: ")))</f>
        <v/>
      </c>
      <c r="H17" s="20">
        <f t="shared" si="0"/>
        <v>0.02</v>
      </c>
      <c r="I17" s="153"/>
      <c r="J17" s="29" t="str">
        <f t="shared" si="1"/>
        <v/>
      </c>
      <c r="K17" s="153"/>
      <c r="L17" s="153"/>
      <c r="M17" s="150"/>
      <c r="N17" s="167"/>
      <c r="O17" s="171"/>
      <c r="P17" s="153"/>
      <c r="Q17" s="156"/>
      <c r="U17">
        <f>COUNTIFS('ליקויים מהמערכת'!$G:$G,$B$1,'ליקויים מהמערכת'!$C:$C,REPLACE(E17,1,0,"ליקוי ל: "))</f>
        <v>0</v>
      </c>
    </row>
    <row r="18" spans="1:21" ht="15" x14ac:dyDescent="0.25">
      <c r="A18" s="159"/>
      <c r="B18" s="162"/>
      <c r="C18" s="176"/>
      <c r="D18" s="173"/>
      <c r="E18" s="5" t="s">
        <v>47</v>
      </c>
      <c r="F18" s="22">
        <v>0.02</v>
      </c>
      <c r="G18" s="23" t="str">
        <f>IF(COUNTIFS('ליקויים מהמערכת'!$G:$G,$B$1,'ליקויים מהמערכת'!$C:$C,REPLACE(E18,1,0,"ליקוי ל: "))=0,"",SUMIFS('ליקויים מהמערכת'!$H:$H,'ליקויים מהמערכת'!$G:$G,$B$1,'ליקויים מהמערכת'!$C:$C,REPLACE(E18,1,0,"ליקוי ל: "))/100/COUNTIFS('ליקויים מהמערכת'!$G:$G,$B$1,'ליקויים מהמערכת'!$C:$C,REPLACE(E18,1,0,"ליקוי ל: ")))</f>
        <v/>
      </c>
      <c r="H18" s="20">
        <f t="shared" si="0"/>
        <v>0.02</v>
      </c>
      <c r="I18" s="153"/>
      <c r="J18" s="29" t="str">
        <f t="shared" si="1"/>
        <v/>
      </c>
      <c r="K18" s="153"/>
      <c r="L18" s="153"/>
      <c r="M18" s="150"/>
      <c r="N18" s="167"/>
      <c r="O18" s="171"/>
      <c r="P18" s="153"/>
      <c r="Q18" s="156"/>
      <c r="U18">
        <f>COUNTIFS('ליקויים מהמערכת'!$G:$G,$B$1,'ליקויים מהמערכת'!$C:$C,REPLACE(E18,1,0,"ליקוי ל: "))</f>
        <v>0</v>
      </c>
    </row>
    <row r="19" spans="1:21" ht="15" x14ac:dyDescent="0.25">
      <c r="A19" s="159"/>
      <c r="B19" s="162"/>
      <c r="C19" s="176"/>
      <c r="D19" s="173"/>
      <c r="E19" s="5" t="s">
        <v>48</v>
      </c>
      <c r="F19" s="22">
        <v>0.02</v>
      </c>
      <c r="G19" s="23" t="str">
        <f>IF(COUNTIFS('ליקויים מהמערכת'!$G:$G,$B$1,'ליקויים מהמערכת'!$C:$C,REPLACE(E19,1,0,"ליקוי ל: "))=0,"",SUMIFS('ליקויים מהמערכת'!$H:$H,'ליקויים מהמערכת'!$G:$G,$B$1,'ליקויים מהמערכת'!$C:$C,REPLACE(E19,1,0,"ליקוי ל: "))/100/COUNTIFS('ליקויים מהמערכת'!$G:$G,$B$1,'ליקויים מהמערכת'!$C:$C,REPLACE(E19,1,0,"ליקוי ל: ")))</f>
        <v/>
      </c>
      <c r="H19" s="20">
        <f t="shared" si="0"/>
        <v>0.02</v>
      </c>
      <c r="I19" s="153"/>
      <c r="J19" s="29" t="str">
        <f t="shared" si="1"/>
        <v/>
      </c>
      <c r="K19" s="153"/>
      <c r="L19" s="153"/>
      <c r="M19" s="150"/>
      <c r="N19" s="167"/>
      <c r="O19" s="171"/>
      <c r="P19" s="153"/>
      <c r="Q19" s="156"/>
      <c r="U19">
        <f>COUNTIFS('ליקויים מהמערכת'!$G:$G,$B$1,'ליקויים מהמערכת'!$C:$C,REPLACE(E19,1,0,"ליקוי ל: "))</f>
        <v>0</v>
      </c>
    </row>
    <row r="20" spans="1:21" ht="30" x14ac:dyDescent="0.25">
      <c r="A20" s="159"/>
      <c r="B20" s="162"/>
      <c r="C20" s="176"/>
      <c r="D20" s="173"/>
      <c r="E20" s="4" t="s">
        <v>135</v>
      </c>
      <c r="F20" s="22">
        <v>0.02</v>
      </c>
      <c r="G20" s="23" t="str">
        <f>IF(COUNTIFS('ליקויים מהמערכת'!$G:$G,$B$1,'ליקויים מהמערכת'!$C:$C,REPLACE(E20,1,0,"ליקוי ל: "))=0,"",SUMIFS('ליקויים מהמערכת'!$H:$H,'ליקויים מהמערכת'!$G:$G,$B$1,'ליקויים מהמערכת'!$C:$C,REPLACE(E20,1,0,"ליקוי ל: "))/100/COUNTIFS('ליקויים מהמערכת'!$G:$G,$B$1,'ליקויים מהמערכת'!$C:$C,REPLACE(E20,1,0,"ליקוי ל: ")))</f>
        <v/>
      </c>
      <c r="H20" s="20">
        <f t="shared" si="0"/>
        <v>0.02</v>
      </c>
      <c r="I20" s="153"/>
      <c r="J20" s="29" t="str">
        <f t="shared" si="1"/>
        <v/>
      </c>
      <c r="K20" s="153"/>
      <c r="L20" s="153"/>
      <c r="M20" s="150"/>
      <c r="N20" s="167"/>
      <c r="O20" s="171"/>
      <c r="P20" s="153"/>
      <c r="Q20" s="156"/>
      <c r="U20">
        <f>COUNTIFS('ליקויים מהמערכת'!$G:$G,$B$1,'ליקויים מהמערכת'!$C:$C,REPLACE(E20,1,0,"ליקוי ל: "))</f>
        <v>0</v>
      </c>
    </row>
    <row r="21" spans="1:21" ht="30" x14ac:dyDescent="0.25">
      <c r="A21" s="159"/>
      <c r="B21" s="162"/>
      <c r="C21" s="176" t="s">
        <v>12</v>
      </c>
      <c r="D21" s="173">
        <v>0.04</v>
      </c>
      <c r="E21" s="5" t="s">
        <v>49</v>
      </c>
      <c r="F21" s="22">
        <v>0.02</v>
      </c>
      <c r="G21" s="23" t="str">
        <f>IF(COUNTIFS('ליקויים מהמערכת'!$G:$G,$B$1,'ליקויים מהמערכת'!$C:$C,REPLACE(E21,1,0,"ליקוי ל: "))=0,"",SUMIFS('ליקויים מהמערכת'!$H:$H,'ליקויים מהמערכת'!$G:$G,$B$1,'ליקויים מהמערכת'!$C:$C,REPLACE(E21,1,0,"ליקוי ל: "))/100/COUNTIFS('ליקויים מהמערכת'!$G:$G,$B$1,'ליקויים מהמערכת'!$C:$C,REPLACE(E21,1,0,"ליקוי ל: ")))</f>
        <v/>
      </c>
      <c r="H21" s="20">
        <f t="shared" si="0"/>
        <v>0.02</v>
      </c>
      <c r="I21" s="153">
        <f>SUM(H21:H22)</f>
        <v>0.04</v>
      </c>
      <c r="J21" s="29" t="str">
        <f>IFERROR(IF(G21="","",(F21+I$21/COUNT(G$21:G$22))*G21),F21*G21)</f>
        <v/>
      </c>
      <c r="K21" s="153">
        <f>IF(COUNTBLANK(G21:G22)=COUNTA(F21:F22),D21,"")</f>
        <v>0.04</v>
      </c>
      <c r="L21" s="153"/>
      <c r="M21" s="150" t="str">
        <f>IF(K21="",1,"")</f>
        <v/>
      </c>
      <c r="N21" s="167">
        <f>SUM(J21:J22)/D21*L12+SUM(J21:J22)</f>
        <v>0</v>
      </c>
      <c r="O21" s="171"/>
      <c r="P21" s="153"/>
      <c r="Q21" s="156"/>
      <c r="U21">
        <f>COUNTIFS('ליקויים מהמערכת'!$G:$G,$B$1,'ליקויים מהמערכת'!$C:$C,REPLACE(E21,1,0,"ליקוי ל: "))</f>
        <v>0</v>
      </c>
    </row>
    <row r="22" spans="1:21" ht="15" x14ac:dyDescent="0.25">
      <c r="A22" s="159"/>
      <c r="B22" s="162"/>
      <c r="C22" s="176"/>
      <c r="D22" s="173"/>
      <c r="E22" s="4" t="s">
        <v>136</v>
      </c>
      <c r="F22" s="22">
        <v>0.02</v>
      </c>
      <c r="G22" s="23" t="str">
        <f>IF(COUNTIFS('ליקויים מהמערכת'!$G:$G,$B$1,'ליקויים מהמערכת'!$C:$C,REPLACE(E22,1,0,"ליקוי ל: "))=0,"",SUMIFS('ליקויים מהמערכת'!$H:$H,'ליקויים מהמערכת'!$G:$G,$B$1,'ליקויים מהמערכת'!$C:$C,REPLACE(E22,1,0,"ליקוי ל: "))/100/COUNTIFS('ליקויים מהמערכת'!$G:$G,$B$1,'ליקויים מהמערכת'!$C:$C,REPLACE(E22,1,0,"ליקוי ל: ")))</f>
        <v/>
      </c>
      <c r="H22" s="20">
        <f t="shared" si="0"/>
        <v>0.02</v>
      </c>
      <c r="I22" s="153"/>
      <c r="J22" s="29" t="str">
        <f>IFERROR(IF(G22="","",(F22+I$21/COUNT(G$21:G$22))*G22),F22*G22)</f>
        <v/>
      </c>
      <c r="K22" s="153"/>
      <c r="L22" s="153"/>
      <c r="M22" s="150"/>
      <c r="N22" s="167"/>
      <c r="O22" s="171"/>
      <c r="P22" s="153"/>
      <c r="Q22" s="156"/>
      <c r="U22">
        <f>COUNTIFS('ליקויים מהמערכת'!$G:$G,$B$1,'ליקויים מהמערכת'!$C:$C,REPLACE(E22,1,0,"ליקוי ל: "))</f>
        <v>0</v>
      </c>
    </row>
    <row r="23" spans="1:21" ht="30" x14ac:dyDescent="0.25">
      <c r="A23" s="159"/>
      <c r="B23" s="162"/>
      <c r="C23" s="6" t="s">
        <v>13</v>
      </c>
      <c r="D23" s="54">
        <v>0.02</v>
      </c>
      <c r="E23" s="4" t="s">
        <v>43</v>
      </c>
      <c r="F23" s="18">
        <v>0.02</v>
      </c>
      <c r="G23" s="23">
        <f>IF(COUNTIFS('ליקויים מהמערכת'!$G:$G,$B$1,'ליקויים מהמערכת'!$C:$C,REPLACE(E23,1,0,"ליקוי ל: "))=0,"",SUMIFS('ליקויים מהמערכת'!$H:$H,'ליקויים מהמערכת'!$G:$G,$B$1,'ליקויים מהמערכת'!$C:$C,REPLACE(E23,1,0,"ליקוי ל: "))/100/COUNTIFS('ליקויים מהמערכת'!$G:$G,$B$1,'ליקויים מהמערכת'!$C:$C,REPLACE(E23,1,0,"ליקוי ל: ")))</f>
        <v>1</v>
      </c>
      <c r="H23" s="20" t="str">
        <f t="shared" si="0"/>
        <v/>
      </c>
      <c r="I23" s="20" t="str">
        <f>H23</f>
        <v/>
      </c>
      <c r="J23" s="29">
        <f>IF(G23="","",F23*G23)</f>
        <v>0.02</v>
      </c>
      <c r="K23" s="20" t="str">
        <f>H23</f>
        <v/>
      </c>
      <c r="L23" s="153"/>
      <c r="M23" s="30">
        <f>IF(K23="",1,"")</f>
        <v>1</v>
      </c>
      <c r="N23" s="29">
        <f>SUM(J23)/D23*L12+SUM(J23)</f>
        <v>0.17500000000000002</v>
      </c>
      <c r="O23" s="171"/>
      <c r="P23" s="153"/>
      <c r="Q23" s="156"/>
      <c r="U23">
        <f>COUNTIFS('ליקויים מהמערכת'!$G:$G,$B$1,'ליקויים מהמערכת'!$C:$C,REPLACE(E23,1,0,"ליקוי ל: "))</f>
        <v>1</v>
      </c>
    </row>
    <row r="24" spans="1:21" ht="15" x14ac:dyDescent="0.25">
      <c r="A24" s="159"/>
      <c r="B24" s="162"/>
      <c r="C24" s="6" t="s">
        <v>14</v>
      </c>
      <c r="D24" s="54">
        <v>0.02</v>
      </c>
      <c r="E24" s="4" t="s">
        <v>137</v>
      </c>
      <c r="F24" s="22">
        <v>0.02</v>
      </c>
      <c r="G24" s="23" t="str">
        <f>IF(COUNTIFS('ליקויים מהמערכת'!$G:$G,$B$1,'ליקויים מהמערכת'!$C:$C,REPLACE(E24,1,0,"ליקוי ל: "))=0,"",SUMIFS('ליקויים מהמערכת'!$H:$H,'ליקויים מהמערכת'!$G:$G,$B$1,'ליקויים מהמערכת'!$C:$C,REPLACE(E24,1,0,"ליקוי ל: "))/100/COUNTIFS('ליקויים מהמערכת'!$G:$G,$B$1,'ליקויים מהמערכת'!$C:$C,REPLACE(E24,1,0,"ליקוי ל: ")))</f>
        <v/>
      </c>
      <c r="H24" s="20">
        <f t="shared" si="0"/>
        <v>0.02</v>
      </c>
      <c r="I24" s="20">
        <f>H24</f>
        <v>0.02</v>
      </c>
      <c r="J24" s="29" t="str">
        <f>IF(G24="","",F24*G24)</f>
        <v/>
      </c>
      <c r="K24" s="20">
        <f>H24</f>
        <v>0.02</v>
      </c>
      <c r="L24" s="153"/>
      <c r="M24" s="30" t="str">
        <f>IF(K24="",1,"")</f>
        <v/>
      </c>
      <c r="N24" s="29">
        <f>SUM(J24)/D24*L12+SUM(J24)</f>
        <v>0</v>
      </c>
      <c r="O24" s="171"/>
      <c r="P24" s="153"/>
      <c r="Q24" s="156"/>
      <c r="U24">
        <f>COUNTIFS('ליקויים מהמערכת'!$G:$G,$B$1,'ליקויים מהמערכת'!$C:$C,REPLACE(E24,1,0,"ליקוי ל: "))</f>
        <v>0</v>
      </c>
    </row>
    <row r="25" spans="1:21" ht="15" x14ac:dyDescent="0.25">
      <c r="A25" s="159"/>
      <c r="B25" s="162"/>
      <c r="C25" s="176" t="s">
        <v>15</v>
      </c>
      <c r="D25" s="173">
        <v>0.03</v>
      </c>
      <c r="E25" s="5" t="s">
        <v>138</v>
      </c>
      <c r="F25" s="22">
        <v>0.02</v>
      </c>
      <c r="G25" s="23" t="str">
        <f>IF(COUNTIFS('ליקויים מהמערכת'!$G:$G,$B$1,'ליקויים מהמערכת'!$C:$C,REPLACE(E25,1,0,"ליקוי ל: "))=0,"",SUMIFS('ליקויים מהמערכת'!$H:$H,'ליקויים מהמערכת'!$G:$G,$B$1,'ליקויים מהמערכת'!$C:$C,REPLACE(E25,1,0,"ליקוי ל: "))/100/COUNTIFS('ליקויים מהמערכת'!$G:$G,$B$1,'ליקויים מהמערכת'!$C:$C,REPLACE(E25,1,0,"ליקוי ל: ")))</f>
        <v/>
      </c>
      <c r="H25" s="20">
        <f t="shared" si="0"/>
        <v>0.02</v>
      </c>
      <c r="I25" s="153">
        <f>SUM(H25:H26)</f>
        <v>0.03</v>
      </c>
      <c r="J25" s="29" t="str">
        <f>IFERROR(IF(G25="","",(F25+I$25/COUNT(G$25:G$26))*G25),F25*G25)</f>
        <v/>
      </c>
      <c r="K25" s="153">
        <f>IF(COUNTBLANK(G25:G26)=COUNTA(F25:F26),D25,"")</f>
        <v>0.03</v>
      </c>
      <c r="L25" s="153"/>
      <c r="M25" s="150" t="str">
        <f>IF(K25="",1,"")</f>
        <v/>
      </c>
      <c r="N25" s="167">
        <f>SUM(J25:J26)/D25*L12+SUM(J25:J26)</f>
        <v>0</v>
      </c>
      <c r="O25" s="171"/>
      <c r="P25" s="153"/>
      <c r="Q25" s="156"/>
      <c r="U25">
        <f>COUNTIFS('ליקויים מהמערכת'!$G:$G,$B$1,'ליקויים מהמערכת'!$C:$C,REPLACE(E25,1,0,"ליקוי ל: "))</f>
        <v>0</v>
      </c>
    </row>
    <row r="26" spans="1:21" ht="30" x14ac:dyDescent="0.25">
      <c r="A26" s="159"/>
      <c r="B26" s="162"/>
      <c r="C26" s="176"/>
      <c r="D26" s="173"/>
      <c r="E26" s="5" t="s">
        <v>50</v>
      </c>
      <c r="F26" s="22">
        <v>0.01</v>
      </c>
      <c r="G26" s="23" t="str">
        <f>IF(COUNTIFS('ליקויים מהמערכת'!$G:$G,$B$1,'ליקויים מהמערכת'!$C:$C,REPLACE(E26,1,0,"ליקוי ל: "))=0,"",SUMIFS('ליקויים מהמערכת'!$H:$H,'ליקויים מהמערכת'!$G:$G,$B$1,'ליקויים מהמערכת'!$C:$C,REPLACE(E26,1,0,"ליקוי ל: "))/100/COUNTIFS('ליקויים מהמערכת'!$G:$G,$B$1,'ליקויים מהמערכת'!$C:$C,REPLACE(E26,1,0,"ליקוי ל: ")))</f>
        <v/>
      </c>
      <c r="H26" s="20">
        <f t="shared" si="0"/>
        <v>0.01</v>
      </c>
      <c r="I26" s="153"/>
      <c r="J26" s="29" t="str">
        <f>IFERROR(IF(G26="","",(F26+I$25/COUNT(G$25:G$26))*G26),F26*G26)</f>
        <v/>
      </c>
      <c r="K26" s="153"/>
      <c r="L26" s="153"/>
      <c r="M26" s="150"/>
      <c r="N26" s="167"/>
      <c r="O26" s="171"/>
      <c r="P26" s="153"/>
      <c r="Q26" s="156"/>
      <c r="U26">
        <f>COUNTIFS('ליקויים מהמערכת'!$G:$G,$B$1,'ליקויים מהמערכת'!$C:$C,REPLACE(E26,1,0,"ליקוי ל: "))</f>
        <v>0</v>
      </c>
    </row>
    <row r="27" spans="1:21" ht="15" x14ac:dyDescent="0.25">
      <c r="A27" s="159"/>
      <c r="B27" s="162"/>
      <c r="C27" s="165" t="s">
        <v>16</v>
      </c>
      <c r="D27" s="162">
        <v>0.03</v>
      </c>
      <c r="E27" s="4" t="s">
        <v>166</v>
      </c>
      <c r="F27" s="22">
        <v>0.01</v>
      </c>
      <c r="G27" s="23">
        <f>IF(COUNTIFS('ליקויים מהמערכת'!$G:$G,$B$1,'ליקויים מהמערכת'!$C:$C,REPLACE(E27,1,0,"ליקוי ל: "))=0,"",SUMIFS('ליקויים מהמערכת'!$H:$H,'ליקויים מהמערכת'!$G:$G,$B$1,'ליקויים מהמערכת'!$C:$C,REPLACE(E27,1,0,"ליקוי ל: "))/100/COUNTIFS('ליקויים מהמערכת'!$G:$G,$B$1,'ליקויים מהמערכת'!$C:$C,REPLACE(E27,1,0,"ליקוי ל: ")))</f>
        <v>1</v>
      </c>
      <c r="H27" s="20" t="str">
        <f t="shared" si="0"/>
        <v/>
      </c>
      <c r="I27" s="153">
        <f>SUM(H27:H29)</f>
        <v>0</v>
      </c>
      <c r="J27" s="29">
        <f>IFERROR(IF(G27="","",(F27+I$27/COUNT(G$27:G$29))*G27),F27*G27)</f>
        <v>0.01</v>
      </c>
      <c r="K27" s="153" t="str">
        <f>IF(COUNTBLANK(G27:G29)=COUNTA(F27:F29),D27,"")</f>
        <v/>
      </c>
      <c r="L27" s="153"/>
      <c r="M27" s="150">
        <f>IF(K27="",1,"")</f>
        <v>1</v>
      </c>
      <c r="N27" s="167">
        <f>SUM(J27:J29)/D27*L12+SUM(J27:J29)</f>
        <v>0.11305555555555558</v>
      </c>
      <c r="O27" s="171"/>
      <c r="P27" s="153"/>
      <c r="Q27" s="156"/>
      <c r="U27">
        <f>COUNTIFS('ליקויים מהמערכת'!$G:$G,$B$1,'ליקויים מהמערכת'!$C:$C,REPLACE(E27,1,0,"ליקוי ל: "))</f>
        <v>6</v>
      </c>
    </row>
    <row r="28" spans="1:21" ht="15" x14ac:dyDescent="0.25">
      <c r="A28" s="159"/>
      <c r="B28" s="162"/>
      <c r="C28" s="165"/>
      <c r="D28" s="162"/>
      <c r="E28" s="4" t="s">
        <v>165</v>
      </c>
      <c r="F28" s="22">
        <v>0.01</v>
      </c>
      <c r="G28" s="23">
        <f>IF(COUNTIFS('ליקויים מהמערכת'!$G:$G,$B$1,'ליקויים מהמערכת'!$C:$C,REPLACE(E28,1,0,"ליקוי ל: "))=0,"",SUMIFS('ליקויים מהמערכת'!$H:$H,'ליקויים מהמערכת'!$G:$G,$B$1,'ליקויים מהמערכת'!$C:$C,REPLACE(E28,1,0,"ליקוי ל: "))/100/COUNTIFS('ליקויים מהמערכת'!$G:$G,$B$1,'ליקויים מהמערכת'!$C:$C,REPLACE(E28,1,0,"ליקוי ל: ")))</f>
        <v>0.83333333333333337</v>
      </c>
      <c r="H28" s="20" t="str">
        <f t="shared" si="0"/>
        <v/>
      </c>
      <c r="I28" s="153"/>
      <c r="J28" s="29">
        <f>IFERROR(IF(G28="","",(F28+I$27/COUNT(G$27:G$29))*G28),F28*G28)</f>
        <v>8.3333333333333332E-3</v>
      </c>
      <c r="K28" s="153"/>
      <c r="L28" s="153"/>
      <c r="M28" s="150"/>
      <c r="N28" s="167"/>
      <c r="O28" s="171"/>
      <c r="P28" s="153"/>
      <c r="Q28" s="156"/>
      <c r="U28">
        <f>COUNTIFS('ליקויים מהמערכת'!$G:$G,$B$1,'ליקויים מהמערכת'!$C:$C,REPLACE(E28,1,0,"ליקוי ל: "))</f>
        <v>6</v>
      </c>
    </row>
    <row r="29" spans="1:21" ht="15.75" thickBot="1" x14ac:dyDescent="0.3">
      <c r="A29" s="160"/>
      <c r="B29" s="163"/>
      <c r="C29" s="166"/>
      <c r="D29" s="163"/>
      <c r="E29" s="8" t="s">
        <v>139</v>
      </c>
      <c r="F29" s="24">
        <v>0.01</v>
      </c>
      <c r="G29" s="31">
        <f>IF(COUNTIFS('ליקויים מהמערכת'!$G:$G,$B$1,'ליקויים מהמערכת'!$C:$C,REPLACE(E29,1,0,"ליקוי ל: "))=0,"",SUMIFS('ליקויים מהמערכת'!$H:$H,'ליקויים מהמערכת'!$G:$G,$B$1,'ליקויים מהמערכת'!$C:$C,REPLACE(E29,1,0,"ליקוי ל: "))/100/COUNTIFS('ליקויים מהמערכת'!$G:$G,$B$1,'ליקויים מהמערכת'!$C:$C,REPLACE(E29,1,0,"ליקוי ל: ")))</f>
        <v>0</v>
      </c>
      <c r="H29" s="26" t="str">
        <f t="shared" si="0"/>
        <v/>
      </c>
      <c r="I29" s="154"/>
      <c r="J29" s="32">
        <f>IFERROR(IF(G29="","",(F29+I$27/COUNT(G$27:G$29))*G29),F29*G29)</f>
        <v>0</v>
      </c>
      <c r="K29" s="154"/>
      <c r="L29" s="154"/>
      <c r="M29" s="151"/>
      <c r="N29" s="168"/>
      <c r="O29" s="172"/>
      <c r="P29" s="154"/>
      <c r="Q29" s="157"/>
      <c r="U29">
        <f>COUNTIFS('ליקויים מהמערכת'!$G:$G,$B$1,'ליקויים מהמערכת'!$C:$C,REPLACE(E29,1,0,"ליקוי ל: "))</f>
        <v>1</v>
      </c>
    </row>
    <row r="30" spans="1:21" ht="30" x14ac:dyDescent="0.25">
      <c r="A30" s="158" t="s">
        <v>2</v>
      </c>
      <c r="B30" s="161">
        <v>0.08</v>
      </c>
      <c r="C30" s="42" t="s">
        <v>17</v>
      </c>
      <c r="D30" s="55">
        <v>0.02</v>
      </c>
      <c r="E30" s="7" t="s">
        <v>140</v>
      </c>
      <c r="F30" s="33">
        <v>0.02</v>
      </c>
      <c r="G30" s="34" t="str">
        <f>IF(COUNTIFS('ליקויים מהמערכת'!$G:$G,$B$1,'ליקויים מהמערכת'!$C:$C,REPLACE(E30,1,0,"ליקוי ל: "))=0,"",SUMIFS('ליקויים מהמערכת'!$H:$H,'ליקויים מהמערכת'!$G:$G,$B$1,'ליקויים מהמערכת'!$C:$C,REPLACE(E30,1,0,"ליקוי ל: "))/100/COUNTIFS('ליקויים מהמערכת'!$G:$G,$B$1,'ליקויים מהמערכת'!$C:$C,REPLACE(E30,1,0,"ליקוי ל: ")))</f>
        <v/>
      </c>
      <c r="H30" s="16">
        <f t="shared" si="0"/>
        <v>0.02</v>
      </c>
      <c r="I30" s="16">
        <f t="shared" ref="I30:I48" si="2">H30</f>
        <v>0.02</v>
      </c>
      <c r="J30" s="28" t="str">
        <f t="shared" ref="J30:J48" si="3">IF(G30="","",F30*G30)</f>
        <v/>
      </c>
      <c r="K30" s="16">
        <f t="shared" ref="K30:K48" si="4">H30</f>
        <v>0.02</v>
      </c>
      <c r="L30" s="152">
        <f>IFERROR(SUM(K30:K33)/SUM(M30:M33),0)</f>
        <v>0.06</v>
      </c>
      <c r="M30" s="35" t="str">
        <f t="shared" ref="M30:M48" si="5">IF(K30="",1,"")</f>
        <v/>
      </c>
      <c r="N30" s="28">
        <f>SUM(J30)/D30*L30+SUM(J30)</f>
        <v>0</v>
      </c>
      <c r="O30" s="149">
        <f>IF(L30&gt;0,1,IF(SUM(M30:M33)=4,1,""))</f>
        <v>1</v>
      </c>
      <c r="P30" s="149" t="str">
        <f>IF(O30="",B30,"")</f>
        <v/>
      </c>
      <c r="Q30" s="155">
        <f>SUM(P4:P48)/SUM(O4:O48)*(SUM(N30:N33)/B30)+SUM(N30:N33)</f>
        <v>8.666666666666667E-2</v>
      </c>
      <c r="U30">
        <f>COUNTIFS('ליקויים מהמערכת'!$G:$G,$B$1,'ליקויים מהמערכת'!$C:$C,REPLACE(E30,1,0,"ליקוי ל: "))</f>
        <v>0</v>
      </c>
    </row>
    <row r="31" spans="1:21" ht="30" x14ac:dyDescent="0.25">
      <c r="A31" s="159"/>
      <c r="B31" s="162"/>
      <c r="C31" s="43" t="s">
        <v>18</v>
      </c>
      <c r="D31" s="56">
        <v>0.02</v>
      </c>
      <c r="E31" s="4" t="s">
        <v>141</v>
      </c>
      <c r="F31" s="22">
        <v>0.02</v>
      </c>
      <c r="G31" s="23" t="str">
        <f>IF(COUNTIFS('ליקויים מהמערכת'!$G:$G,$B$1,'ליקויים מהמערכת'!$C:$C,REPLACE(E31,1,0,"ליקוי ל: "))=0,"",SUMIFS('ליקויים מהמערכת'!$H:$H,'ליקויים מהמערכת'!$G:$G,$B$1,'ליקויים מהמערכת'!$C:$C,REPLACE(E31,1,0,"ליקוי ל: "))/100/COUNTIFS('ליקויים מהמערכת'!$G:$G,$B$1,'ליקויים מהמערכת'!$C:$C,REPLACE(E31,1,0,"ליקוי ל: ")))</f>
        <v/>
      </c>
      <c r="H31" s="20">
        <f t="shared" si="0"/>
        <v>0.02</v>
      </c>
      <c r="I31" s="20">
        <f t="shared" si="2"/>
        <v>0.02</v>
      </c>
      <c r="J31" s="29" t="str">
        <f t="shared" si="3"/>
        <v/>
      </c>
      <c r="K31" s="20">
        <f t="shared" si="4"/>
        <v>0.02</v>
      </c>
      <c r="L31" s="153"/>
      <c r="M31" s="30" t="str">
        <f t="shared" si="5"/>
        <v/>
      </c>
      <c r="N31" s="29">
        <f>SUM(J31)/D31*L30+SUM(J31)</f>
        <v>0</v>
      </c>
      <c r="O31" s="150"/>
      <c r="P31" s="150"/>
      <c r="Q31" s="156"/>
      <c r="U31">
        <f>COUNTIFS('ליקויים מהמערכת'!$G:$G,$B$1,'ליקויים מהמערכת'!$C:$C,REPLACE(E31,1,0,"ליקוי ל: "))</f>
        <v>0</v>
      </c>
    </row>
    <row r="32" spans="1:21" ht="30" x14ac:dyDescent="0.25">
      <c r="A32" s="159"/>
      <c r="B32" s="162"/>
      <c r="C32" s="43" t="s">
        <v>19</v>
      </c>
      <c r="D32" s="56">
        <v>0.02</v>
      </c>
      <c r="E32" s="5" t="s">
        <v>51</v>
      </c>
      <c r="F32" s="22">
        <v>0.02</v>
      </c>
      <c r="G32" s="23">
        <f>IF(COUNTIFS('ליקויים מהמערכת'!$G:$G,$B$1,'ליקויים מהמערכת'!$C:$C,REPLACE(E32,1,0,"ליקוי ל: "))=0,"",SUMIFS('ליקויים מהמערכת'!$H:$H,'ליקויים מהמערכת'!$G:$G,$B$1,'ליקויים מהמערכת'!$C:$C,REPLACE(E32,1,0,"ליקוי ל: "))/100/COUNTIFS('ליקויים מהמערכת'!$G:$G,$B$1,'ליקויים מהמערכת'!$C:$C,REPLACE(E32,1,0,"ליקוי ל: ")))</f>
        <v>1</v>
      </c>
      <c r="H32" s="20" t="str">
        <f t="shared" si="0"/>
        <v/>
      </c>
      <c r="I32" s="20" t="str">
        <f t="shared" si="2"/>
        <v/>
      </c>
      <c r="J32" s="21">
        <f t="shared" si="3"/>
        <v>0.02</v>
      </c>
      <c r="K32" s="20" t="str">
        <f t="shared" si="4"/>
        <v/>
      </c>
      <c r="L32" s="153"/>
      <c r="M32" s="30">
        <f t="shared" si="5"/>
        <v>1</v>
      </c>
      <c r="N32" s="21">
        <f>SUM(J32)/D32*L30+SUM(J32)</f>
        <v>0.08</v>
      </c>
      <c r="O32" s="150"/>
      <c r="P32" s="150"/>
      <c r="Q32" s="156"/>
      <c r="U32">
        <f>COUNTIFS('ליקויים מהמערכת'!$G:$G,$B$1,'ליקויים מהמערכת'!$C:$C,REPLACE(E32,1,0,"ליקוי ל: "))</f>
        <v>4</v>
      </c>
    </row>
    <row r="33" spans="1:21" ht="15.75" thickBot="1" x14ac:dyDescent="0.3">
      <c r="A33" s="160"/>
      <c r="B33" s="163"/>
      <c r="C33" s="44" t="s">
        <v>20</v>
      </c>
      <c r="D33" s="57">
        <v>0.02</v>
      </c>
      <c r="E33" s="8" t="s">
        <v>142</v>
      </c>
      <c r="F33" s="36">
        <v>0.02</v>
      </c>
      <c r="G33" s="31" t="str">
        <f>IF(COUNTIFS('ליקויים מהמערכת'!$G:$G,$B$1,'ליקויים מהמערכת'!$C:$C,REPLACE(E33,1,0,"ליקוי ל: "))=0,"",SUMIFS('ליקויים מהמערכת'!$H:$H,'ליקויים מהמערכת'!$G:$G,$B$1,'ליקויים מהמערכת'!$C:$C,REPLACE(E33,1,0,"ליקוי ל: "))/100/COUNTIFS('ליקויים מהמערכת'!$G:$G,$B$1,'ליקויים מהמערכת'!$C:$C,REPLACE(E33,1,0,"ליקוי ל: ")))</f>
        <v/>
      </c>
      <c r="H33" s="26">
        <f t="shared" si="0"/>
        <v>0.02</v>
      </c>
      <c r="I33" s="26">
        <f t="shared" si="2"/>
        <v>0.02</v>
      </c>
      <c r="J33" s="32" t="str">
        <f t="shared" si="3"/>
        <v/>
      </c>
      <c r="K33" s="26">
        <f t="shared" si="4"/>
        <v>0.02</v>
      </c>
      <c r="L33" s="154"/>
      <c r="M33" s="37" t="str">
        <f t="shared" si="5"/>
        <v/>
      </c>
      <c r="N33" s="32">
        <f>SUM(J33)/D33*L30+SUM(J33)</f>
        <v>0</v>
      </c>
      <c r="O33" s="151"/>
      <c r="P33" s="151"/>
      <c r="Q33" s="157"/>
      <c r="U33">
        <f>COUNTIFS('ליקויים מהמערכת'!$G:$G,$B$1,'ליקויים מהמערכת'!$C:$C,REPLACE(E33,1,0,"ליקוי ל: "))</f>
        <v>0</v>
      </c>
    </row>
    <row r="34" spans="1:21" ht="30" x14ac:dyDescent="0.25">
      <c r="A34" s="158" t="s">
        <v>3</v>
      </c>
      <c r="B34" s="161">
        <v>7.0000000000000007E-2</v>
      </c>
      <c r="C34" s="42" t="s">
        <v>21</v>
      </c>
      <c r="D34" s="55">
        <v>0.02</v>
      </c>
      <c r="E34" s="7" t="s">
        <v>143</v>
      </c>
      <c r="F34" s="33">
        <v>0.02</v>
      </c>
      <c r="G34" s="34">
        <f>IF(COUNTIFS('ליקויים מהמערכת'!$G:$G,$B$1,'ליקויים מהמערכת'!$C:$C,REPLACE(E34,1,0,"ליקוי ל: "))=0,"",SUMIFS('ליקויים מהמערכת'!$H:$H,'ליקויים מהמערכת'!$G:$G,$B$1,'ליקויים מהמערכת'!$C:$C,REPLACE(E34,1,0,"ליקוי ל: "))/100/COUNTIFS('ליקויים מהמערכת'!$G:$G,$B$1,'ליקויים מהמערכת'!$C:$C,REPLACE(E34,1,0,"ליקוי ל: ")))</f>
        <v>1</v>
      </c>
      <c r="H34" s="16" t="str">
        <f t="shared" si="0"/>
        <v/>
      </c>
      <c r="I34" s="16" t="str">
        <f t="shared" si="2"/>
        <v/>
      </c>
      <c r="J34" s="28">
        <f t="shared" si="3"/>
        <v>0.02</v>
      </c>
      <c r="K34" s="16" t="str">
        <f t="shared" si="4"/>
        <v/>
      </c>
      <c r="L34" s="152">
        <f>IFERROR(SUM(K34:K38)/SUM(M34:M38),0)</f>
        <v>2.5000000000000001E-3</v>
      </c>
      <c r="M34" s="35">
        <f t="shared" si="5"/>
        <v>1</v>
      </c>
      <c r="N34" s="28">
        <f>SUM(J34)/D34*L34+SUM(J34)</f>
        <v>2.2499999999999999E-2</v>
      </c>
      <c r="O34" s="149">
        <f>IF(L34&gt;0,1,IF(SUM(M34:M38)=5,1,""))</f>
        <v>1</v>
      </c>
      <c r="P34" s="149" t="str">
        <f>IF(O34="",B34,"")</f>
        <v/>
      </c>
      <c r="Q34" s="155">
        <f>SUM(P4:P48)/SUM(O4:O48)*(SUM(N34:N38)/B34)+SUM(N34:N38)</f>
        <v>7.6666666666666661E-2</v>
      </c>
      <c r="U34">
        <f>COUNTIFS('ליקויים מהמערכת'!$G:$G,$B$1,'ליקויים מהמערכת'!$C:$C,REPLACE(E34,1,0,"ליקוי ל: "))</f>
        <v>2</v>
      </c>
    </row>
    <row r="35" spans="1:21" ht="30" x14ac:dyDescent="0.25">
      <c r="A35" s="159"/>
      <c r="B35" s="162"/>
      <c r="C35" s="43" t="s">
        <v>22</v>
      </c>
      <c r="D35" s="56">
        <v>0.02</v>
      </c>
      <c r="E35" s="4" t="s">
        <v>144</v>
      </c>
      <c r="F35" s="22">
        <v>0.02</v>
      </c>
      <c r="G35" s="23">
        <f>IF(COUNTIFS('ליקויים מהמערכת'!$G:$G,$B$1,'ליקויים מהמערכת'!$C:$C,REPLACE(E35,1,0,"ליקוי ל: "))=0,"",SUMIFS('ליקויים מהמערכת'!$H:$H,'ליקויים מהמערכת'!$G:$G,$B$1,'ליקויים מהמערכת'!$C:$C,REPLACE(E35,1,0,"ליקוי ל: "))/100/COUNTIFS('ליקויים מהמערכת'!$G:$G,$B$1,'ליקויים מהמערכת'!$C:$C,REPLACE(E35,1,0,"ליקוי ל: ")))</f>
        <v>1</v>
      </c>
      <c r="H35" s="20" t="str">
        <f t="shared" si="0"/>
        <v/>
      </c>
      <c r="I35" s="20" t="str">
        <f t="shared" si="2"/>
        <v/>
      </c>
      <c r="J35" s="29">
        <f t="shared" si="3"/>
        <v>0.02</v>
      </c>
      <c r="K35" s="20" t="str">
        <f t="shared" si="4"/>
        <v/>
      </c>
      <c r="L35" s="153"/>
      <c r="M35" s="30">
        <f t="shared" si="5"/>
        <v>1</v>
      </c>
      <c r="N35" s="29">
        <f>SUM(J35)/D35*L34+SUM(J35)</f>
        <v>2.2499999999999999E-2</v>
      </c>
      <c r="O35" s="150"/>
      <c r="P35" s="150"/>
      <c r="Q35" s="156"/>
      <c r="U35">
        <f>COUNTIFS('ליקויים מהמערכת'!$G:$G,$B$1,'ליקויים מהמערכת'!$C:$C,REPLACE(E35,1,0,"ליקוי ל: "))</f>
        <v>2</v>
      </c>
    </row>
    <row r="36" spans="1:21" ht="15" x14ac:dyDescent="0.25">
      <c r="A36" s="159"/>
      <c r="B36" s="162"/>
      <c r="C36" s="43" t="s">
        <v>23</v>
      </c>
      <c r="D36" s="56">
        <v>0.01</v>
      </c>
      <c r="E36" s="4" t="s">
        <v>145</v>
      </c>
      <c r="F36" s="22">
        <v>0.01</v>
      </c>
      <c r="G36" s="23" t="str">
        <f>IF(COUNTIFS('ליקויים מהמערכת'!$G:$G,$B$1,'ליקויים מהמערכת'!$C:$C,REPLACE(E36,1,0,"ליקוי ל: "))=0,"",SUMIFS('ליקויים מהמערכת'!$H:$H,'ליקויים מהמערכת'!$G:$G,$B$1,'ליקויים מהמערכת'!$C:$C,REPLACE(E36,1,0,"ליקוי ל: "))/100/COUNTIFS('ליקויים מהמערכת'!$G:$G,$B$1,'ליקויים מהמערכת'!$C:$C,REPLACE(E36,1,0,"ליקוי ל: ")))</f>
        <v/>
      </c>
      <c r="H36" s="20">
        <f t="shared" si="0"/>
        <v>0.01</v>
      </c>
      <c r="I36" s="20">
        <f t="shared" si="2"/>
        <v>0.01</v>
      </c>
      <c r="J36" s="29" t="str">
        <f t="shared" si="3"/>
        <v/>
      </c>
      <c r="K36" s="20">
        <f t="shared" si="4"/>
        <v>0.01</v>
      </c>
      <c r="L36" s="153"/>
      <c r="M36" s="30" t="str">
        <f t="shared" si="5"/>
        <v/>
      </c>
      <c r="N36" s="29">
        <f>SUM(J36)/D36*L34+SUM(J36)</f>
        <v>0</v>
      </c>
      <c r="O36" s="150"/>
      <c r="P36" s="150"/>
      <c r="Q36" s="156"/>
      <c r="U36">
        <f>COUNTIFS('ליקויים מהמערכת'!$G:$G,$B$1,'ליקויים מהמערכת'!$C:$C,REPLACE(E36,1,0,"ליקוי ל: "))</f>
        <v>0</v>
      </c>
    </row>
    <row r="37" spans="1:21" ht="15" x14ac:dyDescent="0.25">
      <c r="A37" s="159"/>
      <c r="B37" s="162"/>
      <c r="C37" s="43" t="s">
        <v>24</v>
      </c>
      <c r="D37" s="56">
        <v>0.01</v>
      </c>
      <c r="E37" s="4" t="s">
        <v>146</v>
      </c>
      <c r="F37" s="22">
        <v>0.01</v>
      </c>
      <c r="G37" s="23">
        <f>IF(COUNTIFS('ליקויים מהמערכת'!$G:$G,$B$1,'ליקויים מהמערכת'!$C:$C,REPLACE(E37,1,0,"ליקוי ל: "))=0,"",SUMIFS('ליקויים מהמערכת'!$H:$H,'ליקויים מהמערכת'!$G:$G,$B$1,'ליקויים מהמערכת'!$C:$C,REPLACE(E37,1,0,"ליקוי ל: "))/100/COUNTIFS('ליקויים מהמערכת'!$G:$G,$B$1,'ליקויים מהמערכת'!$C:$C,REPLACE(E37,1,0,"ליקוי ל: ")))</f>
        <v>1</v>
      </c>
      <c r="H37" s="20" t="str">
        <f t="shared" si="0"/>
        <v/>
      </c>
      <c r="I37" s="20" t="str">
        <f t="shared" si="2"/>
        <v/>
      </c>
      <c r="J37" s="29">
        <f t="shared" si="3"/>
        <v>0.01</v>
      </c>
      <c r="K37" s="20" t="str">
        <f t="shared" si="4"/>
        <v/>
      </c>
      <c r="L37" s="153"/>
      <c r="M37" s="30">
        <f t="shared" si="5"/>
        <v>1</v>
      </c>
      <c r="N37" s="29">
        <f>SUM(J37)/D37*L34+SUM(J37)</f>
        <v>1.2500000000000001E-2</v>
      </c>
      <c r="O37" s="150"/>
      <c r="P37" s="150"/>
      <c r="Q37" s="156"/>
      <c r="U37">
        <f>COUNTIFS('ליקויים מהמערכת'!$G:$G,$B$1,'ליקויים מהמערכת'!$C:$C,REPLACE(E37,1,0,"ליקוי ל: "))</f>
        <v>6</v>
      </c>
    </row>
    <row r="38" spans="1:21" ht="15.75" thickBot="1" x14ac:dyDescent="0.3">
      <c r="A38" s="160"/>
      <c r="B38" s="163"/>
      <c r="C38" s="44" t="s">
        <v>25</v>
      </c>
      <c r="D38" s="57">
        <v>0.01</v>
      </c>
      <c r="E38" s="8" t="s">
        <v>147</v>
      </c>
      <c r="F38" s="36">
        <v>0.01</v>
      </c>
      <c r="G38" s="31">
        <f>IF(COUNTIFS('ליקויים מהמערכת'!$G:$G,$B$1,'ליקויים מהמערכת'!$C:$C,REPLACE(E38,1,0,"ליקוי ל: "))=0,"",SUMIFS('ליקויים מהמערכת'!$H:$H,'ליקויים מהמערכת'!$G:$G,$B$1,'ליקויים מהמערכת'!$C:$C,REPLACE(E38,1,0,"ליקוי ל: "))/100/COUNTIFS('ליקויים מהמערכת'!$G:$G,$B$1,'ליקויים מהמערכת'!$C:$C,REPLACE(E38,1,0,"ליקוי ל: ")))</f>
        <v>1</v>
      </c>
      <c r="H38" s="26" t="str">
        <f t="shared" si="0"/>
        <v/>
      </c>
      <c r="I38" s="26" t="str">
        <f t="shared" si="2"/>
        <v/>
      </c>
      <c r="J38" s="32">
        <f t="shared" si="3"/>
        <v>0.01</v>
      </c>
      <c r="K38" s="26" t="str">
        <f t="shared" si="4"/>
        <v/>
      </c>
      <c r="L38" s="154"/>
      <c r="M38" s="37">
        <f t="shared" si="5"/>
        <v>1</v>
      </c>
      <c r="N38" s="32">
        <f>SUM(J38)/D38*L34+SUM(J38)</f>
        <v>1.2500000000000001E-2</v>
      </c>
      <c r="O38" s="151"/>
      <c r="P38" s="151"/>
      <c r="Q38" s="157"/>
      <c r="U38">
        <f>COUNTIFS('ליקויים מהמערכת'!$G:$G,$B$1,'ליקויים מהמערכת'!$C:$C,REPLACE(E38,1,0,"ליקוי ל: "))</f>
        <v>3</v>
      </c>
    </row>
    <row r="39" spans="1:21" ht="15" x14ac:dyDescent="0.25">
      <c r="A39" s="158" t="s">
        <v>4</v>
      </c>
      <c r="B39" s="161">
        <v>0.05</v>
      </c>
      <c r="C39" s="45" t="s">
        <v>26</v>
      </c>
      <c r="D39" s="58">
        <v>0.03</v>
      </c>
      <c r="E39" s="7" t="s">
        <v>148</v>
      </c>
      <c r="F39" s="33">
        <v>0.03</v>
      </c>
      <c r="G39" s="34">
        <f>IF(COUNTIFS('ליקויים מהמערכת'!$G:$G,$B$1,'ליקויים מהמערכת'!$C:$C,REPLACE(E39,1,0,"ליקוי ל: "))=0,"",SUMIFS('ליקויים מהמערכת'!$H:$H,'ליקויים מהמערכת'!$G:$G,$B$1,'ליקויים מהמערכת'!$C:$C,REPLACE(E39,1,0,"ליקוי ל: "))/100/COUNTIFS('ליקויים מהמערכת'!$G:$G,$B$1,'ליקויים מהמערכת'!$C:$C,REPLACE(E39,1,0,"ליקוי ל: ")))</f>
        <v>1</v>
      </c>
      <c r="H39" s="16" t="str">
        <f t="shared" si="0"/>
        <v/>
      </c>
      <c r="I39" s="16" t="str">
        <f t="shared" si="2"/>
        <v/>
      </c>
      <c r="J39" s="28">
        <f t="shared" si="3"/>
        <v>0.03</v>
      </c>
      <c r="K39" s="16" t="str">
        <f t="shared" si="4"/>
        <v/>
      </c>
      <c r="L39" s="152">
        <f>IFERROR(SUM(K39:K41)/SUM(M39:M41),0)</f>
        <v>5.0000000000000001E-3</v>
      </c>
      <c r="M39" s="35">
        <f t="shared" si="5"/>
        <v>1</v>
      </c>
      <c r="N39" s="28">
        <f>SUM(J39)/D39*L39+SUM(J39)</f>
        <v>3.4999999999999996E-2</v>
      </c>
      <c r="O39" s="149">
        <f>IF(L39&gt;0,1,IF(SUM(M39:M41)=3,1,""))</f>
        <v>1</v>
      </c>
      <c r="P39" s="149" t="str">
        <f>IF(O39="",B39,"")</f>
        <v/>
      </c>
      <c r="Q39" s="155">
        <f>SUM(P4:P48)/SUM(O4:O48)*(SUM(N39:N41)/B39)+SUM(N39:N41)</f>
        <v>5.6666666666666664E-2</v>
      </c>
      <c r="U39">
        <f>COUNTIFS('ליקויים מהמערכת'!$G:$G,$B$1,'ליקויים מהמערכת'!$C:$C,REPLACE(E39,1,0,"ליקוי ל: "))</f>
        <v>6</v>
      </c>
    </row>
    <row r="40" spans="1:21" ht="15" x14ac:dyDescent="0.25">
      <c r="A40" s="159"/>
      <c r="B40" s="162"/>
      <c r="C40" s="46" t="s">
        <v>27</v>
      </c>
      <c r="D40" s="59">
        <v>0.01</v>
      </c>
      <c r="E40" s="4" t="s">
        <v>149</v>
      </c>
      <c r="F40" s="22">
        <v>0.01</v>
      </c>
      <c r="G40" s="23">
        <f>IF(COUNTIFS('ליקויים מהמערכת'!$G:$G,$B$1,'ליקויים מהמערכת'!$C:$C,REPLACE(E40,1,0,"ליקוי ל: "))=0,"",SUMIFS('ליקויים מהמערכת'!$H:$H,'ליקויים מהמערכת'!$G:$G,$B$1,'ליקויים מהמערכת'!$C:$C,REPLACE(E40,1,0,"ליקוי ל: "))/100/COUNTIFS('ליקויים מהמערכת'!$G:$G,$B$1,'ליקויים מהמערכת'!$C:$C,REPLACE(E40,1,0,"ליקוי ל: ")))</f>
        <v>1</v>
      </c>
      <c r="H40" s="20" t="str">
        <f t="shared" si="0"/>
        <v/>
      </c>
      <c r="I40" s="20" t="str">
        <f t="shared" si="2"/>
        <v/>
      </c>
      <c r="J40" s="29">
        <f t="shared" si="3"/>
        <v>0.01</v>
      </c>
      <c r="K40" s="20" t="str">
        <f t="shared" si="4"/>
        <v/>
      </c>
      <c r="L40" s="153"/>
      <c r="M40" s="30">
        <f t="shared" si="5"/>
        <v>1</v>
      </c>
      <c r="N40" s="29">
        <f>SUM(J40)/D40*L39+SUM(J40)</f>
        <v>1.4999999999999999E-2</v>
      </c>
      <c r="O40" s="150"/>
      <c r="P40" s="150"/>
      <c r="Q40" s="156"/>
      <c r="U40">
        <f>COUNTIFS('ליקויים מהמערכת'!$G:$G,$B$1,'ליקויים מהמערכת'!$C:$C,REPLACE(E40,1,0,"ליקוי ל: "))</f>
        <v>2</v>
      </c>
    </row>
    <row r="41" spans="1:21" ht="15.75" thickBot="1" x14ac:dyDescent="0.3">
      <c r="A41" s="160"/>
      <c r="B41" s="163"/>
      <c r="C41" s="47" t="s">
        <v>28</v>
      </c>
      <c r="D41" s="60">
        <v>0.01</v>
      </c>
      <c r="E41" s="8" t="s">
        <v>150</v>
      </c>
      <c r="F41" s="36">
        <v>0.01</v>
      </c>
      <c r="G41" s="31" t="str">
        <f>IF(COUNTIFS('ליקויים מהמערכת'!$G:$G,$B$1,'ליקויים מהמערכת'!$C:$C,REPLACE(E41,1,0,"ליקוי ל: "))=0,"",SUMIFS('ליקויים מהמערכת'!$H:$H,'ליקויים מהמערכת'!$G:$G,$B$1,'ליקויים מהמערכת'!$C:$C,REPLACE(E41,1,0,"ליקוי ל: "))/100/COUNTIFS('ליקויים מהמערכת'!$G:$G,$B$1,'ליקויים מהמערכת'!$C:$C,REPLACE(E41,1,0,"ליקוי ל: ")))</f>
        <v/>
      </c>
      <c r="H41" s="26">
        <f t="shared" si="0"/>
        <v>0.01</v>
      </c>
      <c r="I41" s="26">
        <f t="shared" si="2"/>
        <v>0.01</v>
      </c>
      <c r="J41" s="32" t="str">
        <f t="shared" si="3"/>
        <v/>
      </c>
      <c r="K41" s="26">
        <f t="shared" si="4"/>
        <v>0.01</v>
      </c>
      <c r="L41" s="154"/>
      <c r="M41" s="37" t="str">
        <f t="shared" si="5"/>
        <v/>
      </c>
      <c r="N41" s="41">
        <f>SUM(J41)/D41*L39+SUM(J41)</f>
        <v>0</v>
      </c>
      <c r="O41" s="151"/>
      <c r="P41" s="151"/>
      <c r="Q41" s="157"/>
      <c r="U41">
        <f>COUNTIFS('ליקויים מהמערכת'!$G:$G,$B$1,'ליקויים מהמערכת'!$C:$C,REPLACE(E41,1,0,"ליקוי ל: "))</f>
        <v>0</v>
      </c>
    </row>
    <row r="42" spans="1:21" ht="30" x14ac:dyDescent="0.25">
      <c r="A42" s="158" t="s">
        <v>5</v>
      </c>
      <c r="B42" s="161">
        <v>7.0000000000000007E-2</v>
      </c>
      <c r="C42" s="45" t="s">
        <v>29</v>
      </c>
      <c r="D42" s="58">
        <v>0.02</v>
      </c>
      <c r="E42" s="9" t="s">
        <v>52</v>
      </c>
      <c r="F42" s="33">
        <v>0.02</v>
      </c>
      <c r="G42" s="34">
        <f>IF(COUNTIFS('ליקויים מהמערכת'!$G:$G,$B$1,'ליקויים מהמערכת'!$C:$C,REPLACE(E42,1,0,"ליקוי ל: "))=0,"",SUMIFS('ליקויים מהמערכת'!$H:$H,'ליקויים מהמערכת'!$G:$G,$B$1,'ליקויים מהמערכת'!$C:$C,REPLACE(E42,1,0,"ליקוי ל: "))/100/COUNTIFS('ליקויים מהמערכת'!$G:$G,$B$1,'ליקויים מהמערכת'!$C:$C,REPLACE(E42,1,0,"ליקוי ל: ")))</f>
        <v>0</v>
      </c>
      <c r="H42" s="16" t="str">
        <f t="shared" si="0"/>
        <v/>
      </c>
      <c r="I42" s="16" t="str">
        <f t="shared" si="2"/>
        <v/>
      </c>
      <c r="J42" s="28">
        <f t="shared" si="3"/>
        <v>0</v>
      </c>
      <c r="K42" s="16" t="str">
        <f t="shared" si="4"/>
        <v/>
      </c>
      <c r="L42" s="152">
        <f>IFERROR(SUM(K42:K45)/SUM(M42:M45),0)</f>
        <v>0</v>
      </c>
      <c r="M42" s="35">
        <f t="shared" si="5"/>
        <v>1</v>
      </c>
      <c r="N42" s="28">
        <f>SUM(J42)/D42*L42+SUM(J42)</f>
        <v>0</v>
      </c>
      <c r="O42" s="149">
        <f>IF(L42&gt;0,1,IF(SUM(M42:M45)=4,1,""))</f>
        <v>1</v>
      </c>
      <c r="P42" s="152" t="str">
        <f>IF(O42="",B42,"")</f>
        <v/>
      </c>
      <c r="Q42" s="155">
        <f>SUM(P4:P48)/SUM(O4:O48)*(SUM(N42:N45)/B42)+SUM(N42:N45)</f>
        <v>5.01984126984127E-2</v>
      </c>
      <c r="U42">
        <f>COUNTIFS('ליקויים מהמערכת'!$G:$G,$B$1,'ליקויים מהמערכת'!$C:$C,REPLACE(E42,1,0,"ליקוי ל: "))</f>
        <v>3</v>
      </c>
    </row>
    <row r="43" spans="1:21" ht="30" x14ac:dyDescent="0.25">
      <c r="A43" s="159"/>
      <c r="B43" s="162"/>
      <c r="C43" s="46" t="s">
        <v>30</v>
      </c>
      <c r="D43" s="59">
        <v>0.02</v>
      </c>
      <c r="E43" s="5" t="s">
        <v>53</v>
      </c>
      <c r="F43" s="22">
        <v>0.02</v>
      </c>
      <c r="G43" s="23">
        <f>IF(COUNTIFS('ליקויים מהמערכת'!$G:$G,$B$1,'ליקויים מהמערכת'!$C:$C,REPLACE(E43,1,0,"ליקוי ל: "))=0,"",SUMIFS('ליקויים מהמערכת'!$H:$H,'ליקויים מהמערכת'!$G:$G,$B$1,'ליקויים מהמערכת'!$C:$C,REPLACE(E43,1,0,"ליקוי ל: "))/100/COUNTIFS('ליקויים מהמערכת'!$G:$G,$B$1,'ליקויים מהמערכת'!$C:$C,REPLACE(E43,1,0,"ליקוי ל: ")))</f>
        <v>0.875</v>
      </c>
      <c r="H43" s="20" t="str">
        <f t="shared" si="0"/>
        <v/>
      </c>
      <c r="I43" s="20" t="str">
        <f t="shared" si="2"/>
        <v/>
      </c>
      <c r="J43" s="29">
        <f t="shared" si="3"/>
        <v>1.7500000000000002E-2</v>
      </c>
      <c r="K43" s="20" t="str">
        <f t="shared" si="4"/>
        <v/>
      </c>
      <c r="L43" s="153"/>
      <c r="M43" s="30">
        <f t="shared" si="5"/>
        <v>1</v>
      </c>
      <c r="N43" s="29">
        <f>SUM(J43)/D43*L42+SUM(J43)</f>
        <v>1.7500000000000002E-2</v>
      </c>
      <c r="O43" s="150"/>
      <c r="P43" s="153"/>
      <c r="Q43" s="156"/>
      <c r="U43">
        <f>COUNTIFS('ליקויים מהמערכת'!$G:$G,$B$1,'ליקויים מהמערכת'!$C:$C,REPLACE(E43,1,0,"ליקוי ל: "))</f>
        <v>4</v>
      </c>
    </row>
    <row r="44" spans="1:21" ht="15" x14ac:dyDescent="0.25">
      <c r="A44" s="159"/>
      <c r="B44" s="162"/>
      <c r="C44" s="46" t="s">
        <v>31</v>
      </c>
      <c r="D44" s="59">
        <v>0.01</v>
      </c>
      <c r="E44" s="4" t="s">
        <v>151</v>
      </c>
      <c r="F44" s="22">
        <v>0.01</v>
      </c>
      <c r="G44" s="23">
        <f>IF(COUNTIFS('ליקויים מהמערכת'!$G:$G,$B$1,'ליקויים מהמערכת'!$C:$C,REPLACE(E44,1,0,"ליקוי ל: "))=0,"",SUMIFS('ליקויים מהמערכת'!$H:$H,'ליקויים מהמערכת'!$G:$G,$B$1,'ליקויים מהמערכת'!$C:$C,REPLACE(E44,1,0,"ליקוי ל: "))/100/COUNTIFS('ליקויים מהמערכת'!$G:$G,$B$1,'ליקויים מהמערכת'!$C:$C,REPLACE(E44,1,0,"ליקוי ל: ")))</f>
        <v>1</v>
      </c>
      <c r="H44" s="20" t="str">
        <f t="shared" si="0"/>
        <v/>
      </c>
      <c r="I44" s="20" t="str">
        <f t="shared" si="2"/>
        <v/>
      </c>
      <c r="J44" s="29">
        <f t="shared" si="3"/>
        <v>0.01</v>
      </c>
      <c r="K44" s="20" t="str">
        <f t="shared" si="4"/>
        <v/>
      </c>
      <c r="L44" s="153"/>
      <c r="M44" s="30">
        <f t="shared" si="5"/>
        <v>1</v>
      </c>
      <c r="N44" s="29">
        <f>SUM(J44)/D44*L42+SUM(J44)</f>
        <v>0.01</v>
      </c>
      <c r="O44" s="150"/>
      <c r="P44" s="153"/>
      <c r="Q44" s="156"/>
      <c r="U44">
        <f>COUNTIFS('ליקויים מהמערכת'!$G:$G,$B$1,'ליקויים מהמערכת'!$C:$C,REPLACE(E44,1,0,"ליקוי ל: "))</f>
        <v>4</v>
      </c>
    </row>
    <row r="45" spans="1:21" ht="15.75" thickBot="1" x14ac:dyDescent="0.3">
      <c r="A45" s="160"/>
      <c r="B45" s="163"/>
      <c r="C45" s="47" t="s">
        <v>32</v>
      </c>
      <c r="D45" s="60">
        <v>0.02</v>
      </c>
      <c r="E45" s="8" t="s">
        <v>152</v>
      </c>
      <c r="F45" s="36">
        <v>0.02</v>
      </c>
      <c r="G45" s="31">
        <f>IF(COUNTIFS('ליקויים מהמערכת'!$G:$G,$B$1,'ליקויים מהמערכת'!$C:$C,REPLACE(E45,1,0,"ליקוי ל: "))=0,"",SUMIFS('ליקויים מהמערכת'!$H:$H,'ליקויים מהמערכת'!$G:$G,$B$1,'ליקויים מהמערכת'!$C:$C,REPLACE(E45,1,0,"ליקוי ל: "))/100/COUNTIFS('ליקויים מהמערכת'!$G:$G,$B$1,'ליקויים מהמערכת'!$C:$C,REPLACE(E45,1,0,"ליקוי ל: ")))</f>
        <v>0.91666666666666663</v>
      </c>
      <c r="H45" s="26" t="str">
        <f t="shared" si="0"/>
        <v/>
      </c>
      <c r="I45" s="26" t="str">
        <f t="shared" si="2"/>
        <v/>
      </c>
      <c r="J45" s="32">
        <f t="shared" si="3"/>
        <v>1.8333333333333333E-2</v>
      </c>
      <c r="K45" s="26" t="str">
        <f t="shared" si="4"/>
        <v/>
      </c>
      <c r="L45" s="154"/>
      <c r="M45" s="37">
        <f t="shared" si="5"/>
        <v>1</v>
      </c>
      <c r="N45" s="32">
        <f>SUM(J45)/D45*L42+SUM(J45)</f>
        <v>1.8333333333333333E-2</v>
      </c>
      <c r="O45" s="151"/>
      <c r="P45" s="154"/>
      <c r="Q45" s="157"/>
      <c r="U45">
        <f>COUNTIFS('ליקויים מהמערכת'!$G:$G,$B$1,'ליקויים מהמערכת'!$C:$C,REPLACE(E45,1,0,"ליקוי ל: "))</f>
        <v>6</v>
      </c>
    </row>
    <row r="46" spans="1:21" ht="15" x14ac:dyDescent="0.25">
      <c r="A46" s="158" t="s">
        <v>6</v>
      </c>
      <c r="B46" s="161">
        <v>0.04</v>
      </c>
      <c r="C46" s="164" t="s">
        <v>33</v>
      </c>
      <c r="D46" s="58">
        <v>0.02</v>
      </c>
      <c r="E46" s="7" t="s">
        <v>153</v>
      </c>
      <c r="F46" s="33">
        <v>0.02</v>
      </c>
      <c r="G46" s="34" t="str">
        <f>IF(COUNTIFS('ליקויים מהמערכת'!$G:$G,$B$1,'ליקויים מהמערכת'!$C:$C,REPLACE(E46,1,0,"ליקוי ל: "))=0,"",SUMIFS('ליקויים מהמערכת'!$H:$H,'ליקויים מהמערכת'!$G:$G,$B$1,'ליקויים מהמערכת'!$C:$C,REPLACE(E46,1,0,"ליקוי ל: "))/100/COUNTIFS('ליקויים מהמערכת'!$G:$G,$B$1,'ליקויים מהמערכת'!$C:$C,REPLACE(E46,1,0,"ליקוי ל: ")))</f>
        <v/>
      </c>
      <c r="H46" s="16">
        <f t="shared" si="0"/>
        <v>0.02</v>
      </c>
      <c r="I46" s="16">
        <f t="shared" si="2"/>
        <v>0.02</v>
      </c>
      <c r="J46" s="28" t="str">
        <f t="shared" si="3"/>
        <v/>
      </c>
      <c r="K46" s="16">
        <f t="shared" si="4"/>
        <v>0.02</v>
      </c>
      <c r="L46" s="152">
        <f>IFERROR(SUM(K46:K48)/SUM(M46:M48),0)</f>
        <v>0</v>
      </c>
      <c r="M46" s="35" t="str">
        <f t="shared" si="5"/>
        <v/>
      </c>
      <c r="N46" s="28">
        <f>SUM(J46)/D46*L46+SUM(J46)</f>
        <v>0</v>
      </c>
      <c r="O46" s="149" t="str">
        <f>IF(L46&gt;0,1,IF(SUM(M46:M48)=3,1,""))</f>
        <v/>
      </c>
      <c r="P46" s="149">
        <f>IF(O46="",B46,"")</f>
        <v>0.04</v>
      </c>
      <c r="Q46" s="155">
        <f>SUM(P4:P48)/SUM(O4:O48)*(SUM(N46:N48)/B46)+SUM(N46:N48)</f>
        <v>0</v>
      </c>
      <c r="U46">
        <f>COUNTIFS('ליקויים מהמערכת'!$G:$G,$B$1,'ליקויים מהמערכת'!$C:$C,REPLACE(E46,1,0,"ליקוי ל: "))</f>
        <v>0</v>
      </c>
    </row>
    <row r="47" spans="1:21" ht="15" x14ac:dyDescent="0.25">
      <c r="A47" s="159"/>
      <c r="B47" s="162"/>
      <c r="C47" s="165"/>
      <c r="D47" s="59">
        <v>0.01</v>
      </c>
      <c r="E47" s="4" t="s">
        <v>154</v>
      </c>
      <c r="F47" s="22">
        <v>0.01</v>
      </c>
      <c r="G47" s="23" t="str">
        <f>IF(COUNTIFS('ליקויים מהמערכת'!$G:$G,$B$1,'ליקויים מהמערכת'!$C:$C,REPLACE(E47,1,0,"ליקוי ל: "))=0,"",SUMIFS('ליקויים מהמערכת'!$H:$H,'ליקויים מהמערכת'!$G:$G,$B$1,'ליקויים מהמערכת'!$C:$C,REPLACE(E47,1,0,"ליקוי ל: "))/100/COUNTIFS('ליקויים מהמערכת'!$G:$G,$B$1,'ליקויים מהמערכת'!$C:$C,REPLACE(E47,1,0,"ליקוי ל: ")))</f>
        <v/>
      </c>
      <c r="H47" s="20">
        <f t="shared" si="0"/>
        <v>0.01</v>
      </c>
      <c r="I47" s="20">
        <f t="shared" si="2"/>
        <v>0.01</v>
      </c>
      <c r="J47" s="29" t="str">
        <f t="shared" si="3"/>
        <v/>
      </c>
      <c r="K47" s="20">
        <f t="shared" si="4"/>
        <v>0.01</v>
      </c>
      <c r="L47" s="153"/>
      <c r="M47" s="30" t="str">
        <f t="shared" si="5"/>
        <v/>
      </c>
      <c r="N47" s="40">
        <f>SUM(J47)/D47*L46+SUM(J47)</f>
        <v>0</v>
      </c>
      <c r="O47" s="150"/>
      <c r="P47" s="150"/>
      <c r="Q47" s="156"/>
      <c r="U47">
        <f>COUNTIFS('ליקויים מהמערכת'!$G:$G,$B$1,'ליקויים מהמערכת'!$C:$C,REPLACE(E47,1,0,"ליקוי ל: "))</f>
        <v>0</v>
      </c>
    </row>
    <row r="48" spans="1:21" ht="15" thickBot="1" x14ac:dyDescent="0.25">
      <c r="A48" s="160"/>
      <c r="B48" s="163"/>
      <c r="C48" s="166"/>
      <c r="D48" s="60">
        <v>0.01</v>
      </c>
      <c r="E48" s="10" t="s">
        <v>155</v>
      </c>
      <c r="F48" s="38">
        <v>0.01</v>
      </c>
      <c r="G48" s="39" t="str">
        <f>IF(COUNTIFS('ליקויים מהמערכת'!$G:$G,$B$1,'ליקויים מהמערכת'!$C:$C,REPLACE(E48,1,0,"ליקוי ל: "))=0,"",SUMIFS('ליקויים מהמערכת'!$H:$H,'ליקויים מהמערכת'!$G:$G,$B$1,'ליקויים מהמערכת'!$C:$C,REPLACE(E48,1,0,"ליקוי ל: "))/100/COUNTIFS('ליקויים מהמערכת'!$G:$G,$B$1,'ליקויים מהמערכת'!$C:$C,REPLACE(E48,1,0,"ליקוי ל: ")))</f>
        <v/>
      </c>
      <c r="H48" s="26">
        <f t="shared" si="0"/>
        <v>0.01</v>
      </c>
      <c r="I48" s="26">
        <f t="shared" si="2"/>
        <v>0.01</v>
      </c>
      <c r="J48" s="32" t="str">
        <f t="shared" si="3"/>
        <v/>
      </c>
      <c r="K48" s="26">
        <f t="shared" si="4"/>
        <v>0.01</v>
      </c>
      <c r="L48" s="154"/>
      <c r="M48" s="37" t="str">
        <f t="shared" si="5"/>
        <v/>
      </c>
      <c r="N48" s="41">
        <f>SUM(J48)/D48*L46+SUM(J48)</f>
        <v>0</v>
      </c>
      <c r="O48" s="151"/>
      <c r="P48" s="151"/>
      <c r="Q48" s="157"/>
      <c r="U48">
        <f>COUNTIFS('ליקויים מהמערכת'!$G:$G,$B$1,'ליקויים מהמערכת'!$C:$C,REPLACE(E48,1,0,"ליקוי ל: "))</f>
        <v>0</v>
      </c>
    </row>
    <row r="49" spans="6:21" x14ac:dyDescent="0.2">
      <c r="U49">
        <f>SUM(U4:U48)</f>
        <v>81</v>
      </c>
    </row>
    <row r="51" spans="6:21" x14ac:dyDescent="0.2">
      <c r="F51" t="s">
        <v>92</v>
      </c>
      <c r="G51">
        <f>COUNT(G4:G48)</f>
        <v>20</v>
      </c>
    </row>
  </sheetData>
  <mergeCells count="91">
    <mergeCell ref="A4:A11"/>
    <mergeCell ref="B4:B11"/>
    <mergeCell ref="I4:I5"/>
    <mergeCell ref="K4:K5"/>
    <mergeCell ref="L4:L11"/>
    <mergeCell ref="C4:C5"/>
    <mergeCell ref="D4:D5"/>
    <mergeCell ref="C8:C9"/>
    <mergeCell ref="D8:D9"/>
    <mergeCell ref="I8:I9"/>
    <mergeCell ref="K8:K9"/>
    <mergeCell ref="C6:C7"/>
    <mergeCell ref="D6:D7"/>
    <mergeCell ref="I6:I7"/>
    <mergeCell ref="K6:K7"/>
    <mergeCell ref="C10:C11"/>
    <mergeCell ref="A12:A29"/>
    <mergeCell ref="B12:B29"/>
    <mergeCell ref="C12:C20"/>
    <mergeCell ref="D12:D20"/>
    <mergeCell ref="I12:I20"/>
    <mergeCell ref="C21:C22"/>
    <mergeCell ref="C25:C26"/>
    <mergeCell ref="M4:M5"/>
    <mergeCell ref="N4:N5"/>
    <mergeCell ref="O4:O11"/>
    <mergeCell ref="P4:P11"/>
    <mergeCell ref="Q4:Q11"/>
    <mergeCell ref="M6:M7"/>
    <mergeCell ref="N10:N11"/>
    <mergeCell ref="N6:N7"/>
    <mergeCell ref="M8:M9"/>
    <mergeCell ref="N8:N9"/>
    <mergeCell ref="D10:D11"/>
    <mergeCell ref="I10:I11"/>
    <mergeCell ref="K10:K11"/>
    <mergeCell ref="M10:M11"/>
    <mergeCell ref="N25:N26"/>
    <mergeCell ref="D21:D22"/>
    <mergeCell ref="I21:I22"/>
    <mergeCell ref="K21:K22"/>
    <mergeCell ref="M21:M22"/>
    <mergeCell ref="N21:N22"/>
    <mergeCell ref="D25:D26"/>
    <mergeCell ref="I25:I26"/>
    <mergeCell ref="K25:K26"/>
    <mergeCell ref="M25:M26"/>
    <mergeCell ref="K12:K20"/>
    <mergeCell ref="L12:L29"/>
    <mergeCell ref="Q30:Q33"/>
    <mergeCell ref="C27:C29"/>
    <mergeCell ref="D27:D29"/>
    <mergeCell ref="I27:I29"/>
    <mergeCell ref="K27:K29"/>
    <mergeCell ref="M27:M29"/>
    <mergeCell ref="N27:N29"/>
    <mergeCell ref="P12:P29"/>
    <mergeCell ref="Q12:Q29"/>
    <mergeCell ref="M12:M20"/>
    <mergeCell ref="N12:N20"/>
    <mergeCell ref="O12:O29"/>
    <mergeCell ref="A30:A33"/>
    <mergeCell ref="B30:B33"/>
    <mergeCell ref="L30:L33"/>
    <mergeCell ref="O30:O33"/>
    <mergeCell ref="P30:P33"/>
    <mergeCell ref="Q39:Q41"/>
    <mergeCell ref="A34:A38"/>
    <mergeCell ref="B34:B38"/>
    <mergeCell ref="L34:L38"/>
    <mergeCell ref="O34:O38"/>
    <mergeCell ref="P34:P38"/>
    <mergeCell ref="Q34:Q38"/>
    <mergeCell ref="A39:A41"/>
    <mergeCell ref="B39:B41"/>
    <mergeCell ref="L39:L41"/>
    <mergeCell ref="O39:O41"/>
    <mergeCell ref="P39:P41"/>
    <mergeCell ref="O42:O45"/>
    <mergeCell ref="P42:P45"/>
    <mergeCell ref="Q46:Q48"/>
    <mergeCell ref="A46:A48"/>
    <mergeCell ref="B46:B48"/>
    <mergeCell ref="C46:C48"/>
    <mergeCell ref="L46:L48"/>
    <mergeCell ref="O46:O48"/>
    <mergeCell ref="P46:P48"/>
    <mergeCell ref="Q42:Q45"/>
    <mergeCell ref="A42:A45"/>
    <mergeCell ref="B42:B45"/>
    <mergeCell ref="L42:L45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"/>
  <sheetViews>
    <sheetView rightToLeft="1" topLeftCell="A44" workbookViewId="0">
      <selection activeCell="G64" sqref="G64"/>
    </sheetView>
  </sheetViews>
  <sheetFormatPr defaultRowHeight="14.25" x14ac:dyDescent="0.2"/>
  <cols>
    <col min="3" max="3" width="64" bestFit="1" customWidth="1"/>
    <col min="4" max="4" width="11.25" bestFit="1" customWidth="1"/>
    <col min="5" max="5" width="10.5" bestFit="1" customWidth="1"/>
    <col min="7" max="7" width="18.75" bestFit="1" customWidth="1"/>
    <col min="8" max="8" width="23.75" bestFit="1" customWidth="1"/>
  </cols>
  <sheetData>
    <row r="1" spans="1:24" x14ac:dyDescent="0.2">
      <c r="A1" s="127" t="s">
        <v>114</v>
      </c>
      <c r="B1" s="127" t="s">
        <v>115</v>
      </c>
      <c r="C1" s="127" t="s">
        <v>116</v>
      </c>
      <c r="D1" s="127" t="s">
        <v>117</v>
      </c>
      <c r="E1" s="127" t="s">
        <v>118</v>
      </c>
      <c r="F1" s="127" t="s">
        <v>119</v>
      </c>
      <c r="G1" s="127" t="s">
        <v>120</v>
      </c>
      <c r="H1" s="127" t="s">
        <v>121</v>
      </c>
      <c r="I1" s="127" t="s">
        <v>122</v>
      </c>
    </row>
    <row r="2" spans="1:24" x14ac:dyDescent="0.2">
      <c r="A2" s="127">
        <v>4257</v>
      </c>
      <c r="B2" s="127">
        <v>49976542</v>
      </c>
      <c r="C2" s="127" t="s">
        <v>123</v>
      </c>
      <c r="D2" s="128">
        <v>43409</v>
      </c>
      <c r="E2" s="128">
        <v>43409</v>
      </c>
      <c r="F2" s="127">
        <v>1</v>
      </c>
      <c r="G2" s="127" t="s">
        <v>206</v>
      </c>
      <c r="H2" s="127">
        <v>100</v>
      </c>
      <c r="I2" s="127"/>
      <c r="N2">
        <f t="shared" ref="N2:N33" si="0">VLOOKUP(REPLACE(C2,1,8," "),$W$2:$X$46,2,FALSE)</f>
        <v>4</v>
      </c>
      <c r="W2" t="s">
        <v>178</v>
      </c>
      <c r="X2">
        <v>1</v>
      </c>
    </row>
    <row r="3" spans="1:24" x14ac:dyDescent="0.2">
      <c r="A3" s="127">
        <v>4258</v>
      </c>
      <c r="B3" s="127">
        <v>49976543</v>
      </c>
      <c r="C3" s="127" t="s">
        <v>124</v>
      </c>
      <c r="D3" s="128">
        <v>43409</v>
      </c>
      <c r="E3" s="128">
        <v>43409</v>
      </c>
      <c r="F3" s="127">
        <v>1</v>
      </c>
      <c r="G3" s="127" t="s">
        <v>206</v>
      </c>
      <c r="H3" s="127">
        <v>100</v>
      </c>
      <c r="I3" s="127"/>
      <c r="N3">
        <f t="shared" si="0"/>
        <v>2</v>
      </c>
      <c r="W3" t="s">
        <v>179</v>
      </c>
      <c r="X3">
        <v>2</v>
      </c>
    </row>
    <row r="4" spans="1:24" x14ac:dyDescent="0.2">
      <c r="A4" s="127">
        <v>4259</v>
      </c>
      <c r="B4" s="127">
        <v>49976544</v>
      </c>
      <c r="C4" s="127" t="s">
        <v>125</v>
      </c>
      <c r="D4" s="128">
        <v>43409</v>
      </c>
      <c r="E4" s="128">
        <v>43409</v>
      </c>
      <c r="F4" s="127">
        <v>1</v>
      </c>
      <c r="G4" s="127" t="s">
        <v>206</v>
      </c>
      <c r="H4" s="127">
        <v>50</v>
      </c>
      <c r="I4" s="127"/>
      <c r="N4">
        <f t="shared" si="0"/>
        <v>4</v>
      </c>
      <c r="W4" t="s">
        <v>175</v>
      </c>
      <c r="X4">
        <v>2</v>
      </c>
    </row>
    <row r="5" spans="1:24" x14ac:dyDescent="0.2">
      <c r="A5" s="127">
        <v>4260</v>
      </c>
      <c r="B5" s="127">
        <v>49976545</v>
      </c>
      <c r="C5" s="127" t="s">
        <v>132</v>
      </c>
      <c r="D5" s="128">
        <v>43409</v>
      </c>
      <c r="E5" s="128">
        <v>43409</v>
      </c>
      <c r="F5" s="127">
        <v>1</v>
      </c>
      <c r="G5" s="127" t="s">
        <v>206</v>
      </c>
      <c r="H5" s="127">
        <v>100</v>
      </c>
      <c r="I5" s="127"/>
      <c r="N5" t="e">
        <f t="shared" si="0"/>
        <v>#N/A</v>
      </c>
      <c r="W5" t="s">
        <v>173</v>
      </c>
      <c r="X5">
        <v>2</v>
      </c>
    </row>
    <row r="6" spans="1:24" x14ac:dyDescent="0.2">
      <c r="A6" s="127">
        <v>4261</v>
      </c>
      <c r="B6" s="127">
        <v>49976546</v>
      </c>
      <c r="C6" s="127" t="s">
        <v>157</v>
      </c>
      <c r="D6" s="128">
        <v>43409</v>
      </c>
      <c r="E6" s="128">
        <v>43409</v>
      </c>
      <c r="F6" s="127">
        <v>1</v>
      </c>
      <c r="G6" s="127" t="s">
        <v>206</v>
      </c>
      <c r="H6" s="127">
        <v>100</v>
      </c>
      <c r="I6" s="127"/>
      <c r="N6" t="e">
        <f t="shared" si="0"/>
        <v>#N/A</v>
      </c>
      <c r="W6" t="s">
        <v>174</v>
      </c>
      <c r="X6">
        <v>2</v>
      </c>
    </row>
    <row r="7" spans="1:24" x14ac:dyDescent="0.2">
      <c r="A7" s="127">
        <v>4262</v>
      </c>
      <c r="B7" s="127">
        <v>49976547</v>
      </c>
      <c r="C7" s="127" t="s">
        <v>156</v>
      </c>
      <c r="D7" s="128">
        <v>43409</v>
      </c>
      <c r="E7" s="128">
        <v>43409</v>
      </c>
      <c r="F7" s="127">
        <v>1</v>
      </c>
      <c r="G7" s="127" t="s">
        <v>206</v>
      </c>
      <c r="H7" s="127">
        <v>0</v>
      </c>
      <c r="I7" s="127"/>
      <c r="N7" t="e">
        <f t="shared" si="0"/>
        <v>#N/A</v>
      </c>
      <c r="W7" t="s">
        <v>172</v>
      </c>
      <c r="X7">
        <v>2</v>
      </c>
    </row>
    <row r="8" spans="1:24" x14ac:dyDescent="0.2">
      <c r="A8" s="127">
        <v>4263</v>
      </c>
      <c r="B8" s="127">
        <v>49976548</v>
      </c>
      <c r="C8" s="127" t="s">
        <v>130</v>
      </c>
      <c r="D8" s="128">
        <v>43409</v>
      </c>
      <c r="E8" s="128">
        <v>43409</v>
      </c>
      <c r="F8" s="127">
        <v>1</v>
      </c>
      <c r="G8" s="127" t="s">
        <v>206</v>
      </c>
      <c r="H8" s="127">
        <v>100</v>
      </c>
      <c r="I8" s="127"/>
      <c r="N8" t="e">
        <f t="shared" si="0"/>
        <v>#N/A</v>
      </c>
      <c r="W8" t="s">
        <v>182</v>
      </c>
      <c r="X8">
        <v>2</v>
      </c>
    </row>
    <row r="9" spans="1:24" x14ac:dyDescent="0.2">
      <c r="A9" s="127">
        <v>4264</v>
      </c>
      <c r="B9" s="127">
        <v>49976549</v>
      </c>
      <c r="C9" s="127" t="s">
        <v>158</v>
      </c>
      <c r="D9" s="128">
        <v>43409</v>
      </c>
      <c r="E9" s="128">
        <v>43409</v>
      </c>
      <c r="F9" s="127">
        <v>1</v>
      </c>
      <c r="G9" s="127" t="s">
        <v>206</v>
      </c>
      <c r="H9" s="127">
        <v>100</v>
      </c>
      <c r="I9" s="127"/>
      <c r="N9">
        <f t="shared" si="0"/>
        <v>1</v>
      </c>
      <c r="W9" t="s">
        <v>183</v>
      </c>
      <c r="X9">
        <v>4</v>
      </c>
    </row>
    <row r="10" spans="1:24" x14ac:dyDescent="0.2">
      <c r="A10" s="127">
        <v>4265</v>
      </c>
      <c r="B10" s="127">
        <v>49976550</v>
      </c>
      <c r="C10" s="127" t="s">
        <v>131</v>
      </c>
      <c r="D10" s="128">
        <v>43409</v>
      </c>
      <c r="E10" s="128">
        <v>43409</v>
      </c>
      <c r="F10" s="127">
        <v>1</v>
      </c>
      <c r="G10" s="127" t="s">
        <v>206</v>
      </c>
      <c r="H10" s="127">
        <v>100</v>
      </c>
      <c r="I10" s="127"/>
      <c r="N10" t="e">
        <f t="shared" si="0"/>
        <v>#N/A</v>
      </c>
      <c r="W10" t="s">
        <v>181</v>
      </c>
      <c r="X10">
        <v>2</v>
      </c>
    </row>
    <row r="11" spans="1:24" x14ac:dyDescent="0.2">
      <c r="A11" s="127">
        <v>4266</v>
      </c>
      <c r="B11" s="127">
        <v>49976551</v>
      </c>
      <c r="C11" s="127" t="s">
        <v>129</v>
      </c>
      <c r="D11" s="128">
        <v>43409</v>
      </c>
      <c r="E11" s="128">
        <v>43409</v>
      </c>
      <c r="F11" s="127">
        <v>1</v>
      </c>
      <c r="G11" s="127" t="s">
        <v>206</v>
      </c>
      <c r="H11" s="127">
        <v>100</v>
      </c>
      <c r="I11" s="127"/>
      <c r="N11" t="e">
        <f t="shared" si="0"/>
        <v>#N/A</v>
      </c>
      <c r="W11" t="s">
        <v>176</v>
      </c>
      <c r="X11">
        <v>1</v>
      </c>
    </row>
    <row r="12" spans="1:24" x14ac:dyDescent="0.2">
      <c r="A12" s="127">
        <v>4267</v>
      </c>
      <c r="B12" s="127">
        <v>49976552</v>
      </c>
      <c r="C12" s="127" t="s">
        <v>127</v>
      </c>
      <c r="D12" s="128">
        <v>43409</v>
      </c>
      <c r="E12" s="128">
        <v>43409</v>
      </c>
      <c r="F12" s="127">
        <v>1</v>
      </c>
      <c r="G12" s="127" t="s">
        <v>206</v>
      </c>
      <c r="H12" s="127">
        <v>100</v>
      </c>
      <c r="I12" s="127"/>
      <c r="N12" t="e">
        <f t="shared" si="0"/>
        <v>#N/A</v>
      </c>
      <c r="W12" t="s">
        <v>165</v>
      </c>
      <c r="X12">
        <v>1</v>
      </c>
    </row>
    <row r="13" spans="1:24" x14ac:dyDescent="0.2">
      <c r="A13" s="127">
        <v>4268</v>
      </c>
      <c r="B13" s="127">
        <v>49976553</v>
      </c>
      <c r="C13" s="127" t="s">
        <v>190</v>
      </c>
      <c r="D13" s="128">
        <v>43409</v>
      </c>
      <c r="E13" s="128">
        <v>43409</v>
      </c>
      <c r="F13" s="127">
        <v>1</v>
      </c>
      <c r="G13" s="127" t="s">
        <v>206</v>
      </c>
      <c r="H13" s="127">
        <v>100</v>
      </c>
      <c r="I13" s="127"/>
      <c r="N13" t="e">
        <f t="shared" si="0"/>
        <v>#N/A</v>
      </c>
      <c r="W13" t="s">
        <v>166</v>
      </c>
      <c r="X13">
        <v>1</v>
      </c>
    </row>
    <row r="14" spans="1:24" x14ac:dyDescent="0.2">
      <c r="A14" s="127">
        <v>4176</v>
      </c>
      <c r="B14" s="127">
        <v>49976554</v>
      </c>
      <c r="C14" s="127" t="s">
        <v>123</v>
      </c>
      <c r="D14" s="128">
        <v>43409</v>
      </c>
      <c r="E14" s="128">
        <v>43409</v>
      </c>
      <c r="F14" s="127">
        <v>1</v>
      </c>
      <c r="G14" s="127" t="s">
        <v>206</v>
      </c>
      <c r="H14" s="127">
        <v>50</v>
      </c>
      <c r="I14" s="127"/>
      <c r="N14">
        <f t="shared" si="0"/>
        <v>4</v>
      </c>
      <c r="W14" t="s">
        <v>177</v>
      </c>
      <c r="X14">
        <v>1</v>
      </c>
    </row>
    <row r="15" spans="1:24" x14ac:dyDescent="0.2">
      <c r="A15" s="127">
        <v>4177</v>
      </c>
      <c r="B15" s="127">
        <v>49976555</v>
      </c>
      <c r="C15" s="127" t="s">
        <v>124</v>
      </c>
      <c r="D15" s="128">
        <v>43409</v>
      </c>
      <c r="E15" s="128">
        <v>43409</v>
      </c>
      <c r="F15" s="127">
        <v>1</v>
      </c>
      <c r="G15" s="127" t="s">
        <v>206</v>
      </c>
      <c r="H15" s="127">
        <v>50</v>
      </c>
      <c r="I15" s="127"/>
      <c r="N15">
        <f t="shared" si="0"/>
        <v>2</v>
      </c>
      <c r="W15" t="s">
        <v>171</v>
      </c>
      <c r="X15">
        <v>1</v>
      </c>
    </row>
    <row r="16" spans="1:24" x14ac:dyDescent="0.2">
      <c r="A16" s="127">
        <v>4178</v>
      </c>
      <c r="B16" s="127">
        <v>49976556</v>
      </c>
      <c r="C16" s="127" t="s">
        <v>125</v>
      </c>
      <c r="D16" s="128">
        <v>43409</v>
      </c>
      <c r="E16" s="128">
        <v>43409</v>
      </c>
      <c r="F16" s="127">
        <v>1</v>
      </c>
      <c r="G16" s="127" t="s">
        <v>206</v>
      </c>
      <c r="H16" s="127">
        <v>100</v>
      </c>
      <c r="I16" s="127"/>
      <c r="N16">
        <f t="shared" si="0"/>
        <v>4</v>
      </c>
      <c r="W16" t="s">
        <v>152</v>
      </c>
      <c r="X16">
        <v>2</v>
      </c>
    </row>
    <row r="17" spans="1:24" x14ac:dyDescent="0.2">
      <c r="A17" s="127">
        <v>4179</v>
      </c>
      <c r="B17" s="127">
        <v>49976557</v>
      </c>
      <c r="C17" s="127" t="s">
        <v>132</v>
      </c>
      <c r="D17" s="128">
        <v>43409</v>
      </c>
      <c r="E17" s="128">
        <v>43409</v>
      </c>
      <c r="F17" s="127">
        <v>1</v>
      </c>
      <c r="G17" s="127" t="s">
        <v>206</v>
      </c>
      <c r="H17" s="127">
        <v>100</v>
      </c>
      <c r="I17" s="127"/>
      <c r="N17" t="e">
        <f t="shared" si="0"/>
        <v>#N/A</v>
      </c>
      <c r="W17" t="s">
        <v>154</v>
      </c>
      <c r="X17">
        <v>2</v>
      </c>
    </row>
    <row r="18" spans="1:24" x14ac:dyDescent="0.2">
      <c r="A18" s="127">
        <v>4180</v>
      </c>
      <c r="B18" s="127">
        <v>49976558</v>
      </c>
      <c r="C18" s="127" t="s">
        <v>157</v>
      </c>
      <c r="D18" s="128">
        <v>43409</v>
      </c>
      <c r="E18" s="128">
        <v>43409</v>
      </c>
      <c r="F18" s="127">
        <v>1</v>
      </c>
      <c r="G18" s="127" t="s">
        <v>206</v>
      </c>
      <c r="H18" s="127">
        <v>100</v>
      </c>
      <c r="I18" s="127"/>
      <c r="N18" t="e">
        <f t="shared" si="0"/>
        <v>#N/A</v>
      </c>
      <c r="W18" t="s">
        <v>137</v>
      </c>
      <c r="X18">
        <v>1</v>
      </c>
    </row>
    <row r="19" spans="1:24" x14ac:dyDescent="0.2">
      <c r="A19" s="127">
        <v>4181</v>
      </c>
      <c r="B19" s="127">
        <v>49976559</v>
      </c>
      <c r="C19" s="127" t="s">
        <v>156</v>
      </c>
      <c r="D19" s="128">
        <v>43409</v>
      </c>
      <c r="E19" s="128">
        <v>43409</v>
      </c>
      <c r="F19" s="127">
        <v>1</v>
      </c>
      <c r="G19" s="127" t="s">
        <v>206</v>
      </c>
      <c r="H19" s="127">
        <v>100</v>
      </c>
      <c r="I19" s="127"/>
      <c r="N19" t="e">
        <f t="shared" si="0"/>
        <v>#N/A</v>
      </c>
      <c r="W19" t="s">
        <v>153</v>
      </c>
      <c r="X19">
        <v>1</v>
      </c>
    </row>
    <row r="20" spans="1:24" x14ac:dyDescent="0.2">
      <c r="A20" s="127">
        <v>4182</v>
      </c>
      <c r="B20" s="127">
        <v>49976560</v>
      </c>
      <c r="C20" s="127" t="s">
        <v>159</v>
      </c>
      <c r="D20" s="128">
        <v>43409</v>
      </c>
      <c r="E20" s="128">
        <v>43409</v>
      </c>
      <c r="F20" s="127">
        <v>1</v>
      </c>
      <c r="G20" s="127" t="s">
        <v>206</v>
      </c>
      <c r="H20" s="127">
        <v>0</v>
      </c>
      <c r="I20" s="127"/>
      <c r="N20" t="e">
        <f t="shared" si="0"/>
        <v>#N/A</v>
      </c>
      <c r="W20" t="s">
        <v>140</v>
      </c>
      <c r="X20">
        <v>0</v>
      </c>
    </row>
    <row r="21" spans="1:24" x14ac:dyDescent="0.2">
      <c r="A21" s="127">
        <v>4183</v>
      </c>
      <c r="B21" s="127">
        <v>49976561</v>
      </c>
      <c r="C21" s="127" t="s">
        <v>131</v>
      </c>
      <c r="D21" s="128">
        <v>43409</v>
      </c>
      <c r="E21" s="128">
        <v>43409</v>
      </c>
      <c r="F21" s="127">
        <v>1</v>
      </c>
      <c r="G21" s="127" t="s">
        <v>206</v>
      </c>
      <c r="H21" s="127">
        <v>100</v>
      </c>
      <c r="I21" s="127"/>
      <c r="N21" t="e">
        <f t="shared" si="0"/>
        <v>#N/A</v>
      </c>
      <c r="W21" t="s">
        <v>143</v>
      </c>
      <c r="X21">
        <v>1</v>
      </c>
    </row>
    <row r="22" spans="1:24" x14ac:dyDescent="0.2">
      <c r="A22" s="127">
        <v>4184</v>
      </c>
      <c r="B22" s="127">
        <v>49976562</v>
      </c>
      <c r="C22" s="127" t="s">
        <v>158</v>
      </c>
      <c r="D22" s="128">
        <v>43409</v>
      </c>
      <c r="E22" s="128">
        <v>43409</v>
      </c>
      <c r="F22" s="127">
        <v>1</v>
      </c>
      <c r="G22" s="127" t="s">
        <v>206</v>
      </c>
      <c r="H22" s="127">
        <v>100</v>
      </c>
      <c r="I22" s="127"/>
      <c r="N22">
        <f t="shared" si="0"/>
        <v>1</v>
      </c>
      <c r="W22" t="s">
        <v>180</v>
      </c>
      <c r="X22">
        <v>0</v>
      </c>
    </row>
    <row r="23" spans="1:24" x14ac:dyDescent="0.2">
      <c r="A23" s="127">
        <v>4185</v>
      </c>
      <c r="B23" s="127">
        <v>49976563</v>
      </c>
      <c r="C23" s="127" t="s">
        <v>127</v>
      </c>
      <c r="D23" s="128">
        <v>43409</v>
      </c>
      <c r="E23" s="128">
        <v>43409</v>
      </c>
      <c r="F23" s="127">
        <v>1</v>
      </c>
      <c r="G23" s="127" t="s">
        <v>206</v>
      </c>
      <c r="H23" s="127">
        <v>100</v>
      </c>
      <c r="I23" s="127"/>
      <c r="N23" t="e">
        <f t="shared" si="0"/>
        <v>#N/A</v>
      </c>
      <c r="W23" t="s">
        <v>151</v>
      </c>
      <c r="X23">
        <v>1</v>
      </c>
    </row>
    <row r="24" spans="1:24" x14ac:dyDescent="0.2">
      <c r="A24" s="127">
        <v>4459</v>
      </c>
      <c r="B24" s="127">
        <v>49992053</v>
      </c>
      <c r="C24" s="127" t="s">
        <v>123</v>
      </c>
      <c r="D24" s="128">
        <v>43410</v>
      </c>
      <c r="E24" s="128">
        <v>43410</v>
      </c>
      <c r="F24" s="127">
        <v>1</v>
      </c>
      <c r="G24" s="127" t="s">
        <v>206</v>
      </c>
      <c r="H24" s="127">
        <v>50</v>
      </c>
      <c r="I24" s="127"/>
      <c r="N24">
        <f t="shared" si="0"/>
        <v>4</v>
      </c>
      <c r="W24" t="s">
        <v>43</v>
      </c>
      <c r="X24">
        <v>2</v>
      </c>
    </row>
    <row r="25" spans="1:24" x14ac:dyDescent="0.2">
      <c r="A25" s="127">
        <v>4460</v>
      </c>
      <c r="B25" s="127">
        <v>49992054</v>
      </c>
      <c r="C25" s="127" t="s">
        <v>124</v>
      </c>
      <c r="D25" s="128">
        <v>43410</v>
      </c>
      <c r="E25" s="128">
        <v>43410</v>
      </c>
      <c r="F25" s="127">
        <v>1</v>
      </c>
      <c r="G25" s="127" t="s">
        <v>206</v>
      </c>
      <c r="H25" s="127">
        <v>50</v>
      </c>
      <c r="I25" s="127"/>
      <c r="N25">
        <f t="shared" si="0"/>
        <v>2</v>
      </c>
      <c r="W25" t="s">
        <v>39</v>
      </c>
      <c r="X25">
        <v>0</v>
      </c>
    </row>
    <row r="26" spans="1:24" x14ac:dyDescent="0.2">
      <c r="A26" s="127">
        <v>4461</v>
      </c>
      <c r="B26" s="127">
        <v>49992055</v>
      </c>
      <c r="C26" s="127" t="s">
        <v>125</v>
      </c>
      <c r="D26" s="128">
        <v>43410</v>
      </c>
      <c r="E26" s="128">
        <v>43410</v>
      </c>
      <c r="F26" s="127">
        <v>1</v>
      </c>
      <c r="G26" s="127" t="s">
        <v>206</v>
      </c>
      <c r="H26" s="127">
        <v>100</v>
      </c>
      <c r="I26" s="127"/>
      <c r="N26">
        <f t="shared" si="0"/>
        <v>4</v>
      </c>
      <c r="W26" t="s">
        <v>134</v>
      </c>
      <c r="X26">
        <v>0</v>
      </c>
    </row>
    <row r="27" spans="1:24" x14ac:dyDescent="0.2">
      <c r="A27" s="127">
        <v>4462</v>
      </c>
      <c r="B27" s="127">
        <v>49992057</v>
      </c>
      <c r="C27" s="127" t="s">
        <v>132</v>
      </c>
      <c r="D27" s="128">
        <v>43410</v>
      </c>
      <c r="E27" s="128">
        <v>43410</v>
      </c>
      <c r="F27" s="127">
        <v>1</v>
      </c>
      <c r="G27" s="127" t="s">
        <v>206</v>
      </c>
      <c r="H27" s="127">
        <v>50</v>
      </c>
      <c r="I27" s="127"/>
      <c r="N27" t="e">
        <f t="shared" si="0"/>
        <v>#N/A</v>
      </c>
      <c r="W27" t="s">
        <v>40</v>
      </c>
      <c r="X27">
        <v>1</v>
      </c>
    </row>
    <row r="28" spans="1:24" x14ac:dyDescent="0.2">
      <c r="A28" s="127">
        <v>4463</v>
      </c>
      <c r="B28" s="127">
        <v>49992064</v>
      </c>
      <c r="C28" s="127" t="s">
        <v>157</v>
      </c>
      <c r="D28" s="128">
        <v>43410</v>
      </c>
      <c r="E28" s="128">
        <v>43410</v>
      </c>
      <c r="F28" s="127">
        <v>1</v>
      </c>
      <c r="G28" s="127" t="s">
        <v>206</v>
      </c>
      <c r="H28" s="127">
        <v>100</v>
      </c>
      <c r="I28" s="127"/>
      <c r="N28" t="e">
        <f t="shared" si="0"/>
        <v>#N/A</v>
      </c>
      <c r="W28" t="s">
        <v>164</v>
      </c>
      <c r="X28">
        <v>2</v>
      </c>
    </row>
    <row r="29" spans="1:24" x14ac:dyDescent="0.2">
      <c r="A29" s="127">
        <v>4464</v>
      </c>
      <c r="B29" s="127">
        <v>49992100</v>
      </c>
      <c r="C29" s="127" t="s">
        <v>156</v>
      </c>
      <c r="D29" s="128">
        <v>43410</v>
      </c>
      <c r="E29" s="128">
        <v>43410</v>
      </c>
      <c r="F29" s="127">
        <v>1</v>
      </c>
      <c r="G29" s="127" t="s">
        <v>206</v>
      </c>
      <c r="H29" s="127">
        <v>100</v>
      </c>
      <c r="I29" s="127"/>
      <c r="N29" t="e">
        <f t="shared" si="0"/>
        <v>#N/A</v>
      </c>
      <c r="W29" t="s">
        <v>135</v>
      </c>
      <c r="X29">
        <v>1</v>
      </c>
    </row>
    <row r="30" spans="1:24" x14ac:dyDescent="0.2">
      <c r="A30" s="127">
        <v>4465</v>
      </c>
      <c r="B30" s="127">
        <v>49992102</v>
      </c>
      <c r="C30" s="127" t="s">
        <v>163</v>
      </c>
      <c r="D30" s="128">
        <v>43410</v>
      </c>
      <c r="E30" s="128">
        <v>43410</v>
      </c>
      <c r="F30" s="127">
        <v>1</v>
      </c>
      <c r="G30" s="127" t="s">
        <v>206</v>
      </c>
      <c r="H30" s="127">
        <v>100</v>
      </c>
      <c r="I30" s="127"/>
      <c r="N30" t="e">
        <f t="shared" si="0"/>
        <v>#N/A</v>
      </c>
      <c r="W30" t="s">
        <v>42</v>
      </c>
      <c r="X30">
        <v>1</v>
      </c>
    </row>
    <row r="31" spans="1:24" x14ac:dyDescent="0.2">
      <c r="A31" s="127">
        <v>4466</v>
      </c>
      <c r="B31" s="127">
        <v>49992103</v>
      </c>
      <c r="C31" s="127" t="s">
        <v>158</v>
      </c>
      <c r="D31" s="128">
        <v>43410</v>
      </c>
      <c r="E31" s="128">
        <v>43410</v>
      </c>
      <c r="F31" s="127">
        <v>1</v>
      </c>
      <c r="G31" s="127" t="s">
        <v>206</v>
      </c>
      <c r="H31" s="127">
        <v>100</v>
      </c>
      <c r="I31" s="127"/>
      <c r="N31">
        <f t="shared" si="0"/>
        <v>1</v>
      </c>
      <c r="W31" t="s">
        <v>41</v>
      </c>
      <c r="X31">
        <v>1</v>
      </c>
    </row>
    <row r="32" spans="1:24" x14ac:dyDescent="0.2">
      <c r="A32" s="127">
        <v>4467</v>
      </c>
      <c r="B32" s="127">
        <v>49992105</v>
      </c>
      <c r="C32" s="127" t="s">
        <v>131</v>
      </c>
      <c r="D32" s="128">
        <v>43410</v>
      </c>
      <c r="E32" s="128">
        <v>43410</v>
      </c>
      <c r="F32" s="127">
        <v>1</v>
      </c>
      <c r="G32" s="127" t="s">
        <v>206</v>
      </c>
      <c r="H32" s="127">
        <v>100</v>
      </c>
      <c r="I32" s="127"/>
      <c r="N32" t="e">
        <f t="shared" si="0"/>
        <v>#N/A</v>
      </c>
      <c r="W32" t="s">
        <v>144</v>
      </c>
      <c r="X32">
        <v>1</v>
      </c>
    </row>
    <row r="33" spans="1:24" x14ac:dyDescent="0.2">
      <c r="A33" s="127">
        <v>4468</v>
      </c>
      <c r="B33" s="127">
        <v>49992106</v>
      </c>
      <c r="C33" s="127" t="s">
        <v>160</v>
      </c>
      <c r="D33" s="128">
        <v>43410</v>
      </c>
      <c r="E33" s="128">
        <v>43410</v>
      </c>
      <c r="F33" s="127">
        <v>1</v>
      </c>
      <c r="G33" s="127" t="s">
        <v>206</v>
      </c>
      <c r="H33" s="127">
        <v>100</v>
      </c>
      <c r="I33" s="127"/>
      <c r="N33" t="e">
        <f t="shared" si="0"/>
        <v>#N/A</v>
      </c>
      <c r="W33" t="s">
        <v>185</v>
      </c>
      <c r="X33">
        <v>4</v>
      </c>
    </row>
    <row r="34" spans="1:24" x14ac:dyDescent="0.2">
      <c r="A34" s="127">
        <v>4469</v>
      </c>
      <c r="B34" s="127">
        <v>49992108</v>
      </c>
      <c r="C34" s="127" t="s">
        <v>127</v>
      </c>
      <c r="D34" s="128">
        <v>43410</v>
      </c>
      <c r="E34" s="128">
        <v>43410</v>
      </c>
      <c r="F34" s="127">
        <v>1</v>
      </c>
      <c r="G34" s="127" t="s">
        <v>206</v>
      </c>
      <c r="H34" s="127">
        <v>100</v>
      </c>
      <c r="I34" s="127"/>
      <c r="N34" t="e">
        <f t="shared" ref="N34:N65" si="1">VLOOKUP(REPLACE(C34,1,8," "),$W$2:$X$46,2,FALSE)</f>
        <v>#N/A</v>
      </c>
      <c r="W34" t="s">
        <v>186</v>
      </c>
      <c r="X34">
        <v>2</v>
      </c>
    </row>
    <row r="35" spans="1:24" x14ac:dyDescent="0.2">
      <c r="A35" s="127">
        <v>3165</v>
      </c>
      <c r="B35" s="127">
        <v>49954154</v>
      </c>
      <c r="C35" s="127" t="s">
        <v>190</v>
      </c>
      <c r="D35" s="128">
        <v>43402</v>
      </c>
      <c r="E35" s="128">
        <v>43402</v>
      </c>
      <c r="F35" s="127">
        <v>1</v>
      </c>
      <c r="G35" s="127" t="s">
        <v>206</v>
      </c>
      <c r="H35" s="127">
        <v>100</v>
      </c>
      <c r="I35" s="127"/>
      <c r="N35" t="e">
        <f t="shared" si="1"/>
        <v>#N/A</v>
      </c>
      <c r="W35" t="s">
        <v>187</v>
      </c>
      <c r="X35">
        <v>1</v>
      </c>
    </row>
    <row r="36" spans="1:24" x14ac:dyDescent="0.2">
      <c r="A36" s="127">
        <v>3536</v>
      </c>
      <c r="B36" s="127">
        <v>49954227</v>
      </c>
      <c r="C36" s="127" t="s">
        <v>123</v>
      </c>
      <c r="D36" s="128">
        <v>43404</v>
      </c>
      <c r="E36" s="128">
        <v>43404</v>
      </c>
      <c r="F36" s="127">
        <v>1</v>
      </c>
      <c r="G36" s="127" t="s">
        <v>206</v>
      </c>
      <c r="H36" s="127">
        <v>100</v>
      </c>
      <c r="I36" s="127"/>
      <c r="N36">
        <f t="shared" si="1"/>
        <v>4</v>
      </c>
      <c r="W36" t="s">
        <v>141</v>
      </c>
      <c r="X36">
        <v>1</v>
      </c>
    </row>
    <row r="37" spans="1:24" x14ac:dyDescent="0.2">
      <c r="A37" s="127">
        <v>3537</v>
      </c>
      <c r="B37" s="127">
        <v>49954228</v>
      </c>
      <c r="C37" s="127" t="s">
        <v>124</v>
      </c>
      <c r="D37" s="128">
        <v>43404</v>
      </c>
      <c r="E37" s="128">
        <v>43404</v>
      </c>
      <c r="F37" s="127">
        <v>1</v>
      </c>
      <c r="G37" s="127" t="s">
        <v>206</v>
      </c>
      <c r="H37" s="127">
        <v>50</v>
      </c>
      <c r="I37" s="127"/>
      <c r="N37">
        <f t="shared" si="1"/>
        <v>2</v>
      </c>
      <c r="W37" t="s">
        <v>155</v>
      </c>
      <c r="X37">
        <v>1</v>
      </c>
    </row>
    <row r="38" spans="1:24" x14ac:dyDescent="0.2">
      <c r="A38" s="127">
        <v>3538</v>
      </c>
      <c r="B38" s="127">
        <v>49954230</v>
      </c>
      <c r="C38" s="127" t="s">
        <v>128</v>
      </c>
      <c r="D38" s="128">
        <v>43404</v>
      </c>
      <c r="E38" s="128">
        <v>43404</v>
      </c>
      <c r="F38" s="127">
        <v>1</v>
      </c>
      <c r="G38" s="127" t="s">
        <v>206</v>
      </c>
      <c r="H38" s="127">
        <v>0</v>
      </c>
      <c r="I38" s="127"/>
      <c r="N38" t="e">
        <f t="shared" si="1"/>
        <v>#N/A</v>
      </c>
      <c r="W38" t="s">
        <v>139</v>
      </c>
      <c r="X38">
        <v>1</v>
      </c>
    </row>
    <row r="39" spans="1:24" x14ac:dyDescent="0.2">
      <c r="A39" s="127">
        <v>3539</v>
      </c>
      <c r="B39" s="127">
        <v>49954231</v>
      </c>
      <c r="C39" s="127" t="s">
        <v>127</v>
      </c>
      <c r="D39" s="128">
        <v>43404</v>
      </c>
      <c r="E39" s="128">
        <v>43404</v>
      </c>
      <c r="F39" s="127">
        <v>1</v>
      </c>
      <c r="G39" s="127" t="s">
        <v>206</v>
      </c>
      <c r="H39" s="127">
        <v>50</v>
      </c>
      <c r="I39" s="127"/>
      <c r="N39" t="e">
        <f t="shared" si="1"/>
        <v>#N/A</v>
      </c>
      <c r="W39" t="s">
        <v>188</v>
      </c>
      <c r="X39">
        <v>1</v>
      </c>
    </row>
    <row r="40" spans="1:24" x14ac:dyDescent="0.2">
      <c r="A40" s="127">
        <v>3540</v>
      </c>
      <c r="B40" s="127">
        <v>49954233</v>
      </c>
      <c r="C40" s="127" t="s">
        <v>158</v>
      </c>
      <c r="D40" s="128">
        <v>43404</v>
      </c>
      <c r="E40" s="128">
        <v>43404</v>
      </c>
      <c r="F40" s="127">
        <v>1</v>
      </c>
      <c r="G40" s="127" t="s">
        <v>206</v>
      </c>
      <c r="H40" s="127">
        <v>100</v>
      </c>
      <c r="I40" s="127"/>
      <c r="N40">
        <f t="shared" si="1"/>
        <v>1</v>
      </c>
      <c r="W40" t="s">
        <v>189</v>
      </c>
      <c r="X40">
        <v>2</v>
      </c>
    </row>
    <row r="41" spans="1:24" x14ac:dyDescent="0.2">
      <c r="A41" s="127">
        <v>3541</v>
      </c>
      <c r="B41" s="127">
        <v>49954234</v>
      </c>
      <c r="C41" s="127" t="s">
        <v>163</v>
      </c>
      <c r="D41" s="128">
        <v>43404</v>
      </c>
      <c r="E41" s="128">
        <v>43404</v>
      </c>
      <c r="F41" s="127">
        <v>1</v>
      </c>
      <c r="G41" s="127" t="s">
        <v>206</v>
      </c>
      <c r="H41" s="127">
        <v>100</v>
      </c>
      <c r="I41" s="127"/>
      <c r="N41" t="e">
        <f t="shared" si="1"/>
        <v>#N/A</v>
      </c>
      <c r="W41" t="s">
        <v>148</v>
      </c>
      <c r="X41">
        <v>2</v>
      </c>
    </row>
    <row r="42" spans="1:24" x14ac:dyDescent="0.2">
      <c r="A42" s="127">
        <v>3542</v>
      </c>
      <c r="B42" s="127">
        <v>49954236</v>
      </c>
      <c r="C42" s="127" t="s">
        <v>157</v>
      </c>
      <c r="D42" s="128">
        <v>43404</v>
      </c>
      <c r="E42" s="128">
        <v>43404</v>
      </c>
      <c r="F42" s="127">
        <v>1</v>
      </c>
      <c r="G42" s="127" t="s">
        <v>206</v>
      </c>
      <c r="H42" s="127">
        <v>100</v>
      </c>
      <c r="I42" s="127"/>
      <c r="N42" t="e">
        <f t="shared" si="1"/>
        <v>#N/A</v>
      </c>
      <c r="W42" t="s">
        <v>36</v>
      </c>
      <c r="X42">
        <v>4</v>
      </c>
    </row>
    <row r="43" spans="1:24" x14ac:dyDescent="0.2">
      <c r="A43" s="127">
        <v>3543</v>
      </c>
      <c r="B43" s="127">
        <v>49954237</v>
      </c>
      <c r="C43" s="127" t="s">
        <v>130</v>
      </c>
      <c r="D43" s="128">
        <v>43404</v>
      </c>
      <c r="E43" s="128">
        <v>43404</v>
      </c>
      <c r="F43" s="127">
        <v>1</v>
      </c>
      <c r="G43" s="127" t="s">
        <v>206</v>
      </c>
      <c r="H43" s="127">
        <v>100</v>
      </c>
      <c r="I43" s="127"/>
      <c r="N43" t="e">
        <f t="shared" si="1"/>
        <v>#N/A</v>
      </c>
      <c r="W43" t="s">
        <v>136</v>
      </c>
      <c r="X43">
        <v>1</v>
      </c>
    </row>
    <row r="44" spans="1:24" x14ac:dyDescent="0.2">
      <c r="A44" s="127">
        <v>3544</v>
      </c>
      <c r="B44" s="127">
        <v>49954239</v>
      </c>
      <c r="C44" s="127" t="s">
        <v>126</v>
      </c>
      <c r="D44" s="128">
        <v>43404</v>
      </c>
      <c r="E44" s="128">
        <v>43404</v>
      </c>
      <c r="F44" s="127">
        <v>1</v>
      </c>
      <c r="G44" s="127" t="s">
        <v>206</v>
      </c>
      <c r="H44" s="127">
        <v>100</v>
      </c>
      <c r="I44" s="127"/>
      <c r="N44" t="e">
        <f t="shared" si="1"/>
        <v>#N/A</v>
      </c>
      <c r="W44" t="s">
        <v>147</v>
      </c>
      <c r="X44">
        <v>1</v>
      </c>
    </row>
    <row r="45" spans="1:24" x14ac:dyDescent="0.2">
      <c r="A45" s="127">
        <v>3545</v>
      </c>
      <c r="B45" s="127">
        <v>49954241</v>
      </c>
      <c r="C45" s="127" t="s">
        <v>160</v>
      </c>
      <c r="D45" s="128">
        <v>43404</v>
      </c>
      <c r="E45" s="128">
        <v>43404</v>
      </c>
      <c r="F45" s="127">
        <v>1</v>
      </c>
      <c r="G45" s="127" t="s">
        <v>206</v>
      </c>
      <c r="H45" s="127">
        <v>100</v>
      </c>
      <c r="I45" s="127"/>
      <c r="N45" t="e">
        <f t="shared" si="1"/>
        <v>#N/A</v>
      </c>
      <c r="W45" t="s">
        <v>38</v>
      </c>
      <c r="X45">
        <v>2</v>
      </c>
    </row>
    <row r="46" spans="1:24" x14ac:dyDescent="0.2">
      <c r="A46" s="127">
        <v>3546</v>
      </c>
      <c r="B46" s="127">
        <v>49954243</v>
      </c>
      <c r="C46" s="127" t="s">
        <v>156</v>
      </c>
      <c r="D46" s="128">
        <v>43404</v>
      </c>
      <c r="E46" s="128">
        <v>43404</v>
      </c>
      <c r="F46" s="127">
        <v>1</v>
      </c>
      <c r="G46" s="127" t="s">
        <v>206</v>
      </c>
      <c r="H46" s="127">
        <v>100</v>
      </c>
      <c r="I46" s="127"/>
      <c r="N46" t="e">
        <f t="shared" si="1"/>
        <v>#N/A</v>
      </c>
      <c r="W46" t="s">
        <v>184</v>
      </c>
      <c r="X46">
        <v>2</v>
      </c>
    </row>
    <row r="47" spans="1:24" x14ac:dyDescent="0.2">
      <c r="A47" s="127">
        <v>3547</v>
      </c>
      <c r="B47" s="127">
        <v>49954245</v>
      </c>
      <c r="C47" s="127" t="s">
        <v>131</v>
      </c>
      <c r="D47" s="128">
        <v>43404</v>
      </c>
      <c r="E47" s="128">
        <v>43404</v>
      </c>
      <c r="F47" s="127">
        <v>1</v>
      </c>
      <c r="G47" s="127" t="s">
        <v>206</v>
      </c>
      <c r="H47" s="127">
        <v>100</v>
      </c>
      <c r="I47" s="127"/>
      <c r="N47" t="e">
        <f t="shared" si="1"/>
        <v>#N/A</v>
      </c>
    </row>
    <row r="48" spans="1:24" x14ac:dyDescent="0.2">
      <c r="A48" s="127">
        <v>3548</v>
      </c>
      <c r="B48" s="127">
        <v>49954247</v>
      </c>
      <c r="C48" s="127" t="s">
        <v>191</v>
      </c>
      <c r="D48" s="128">
        <v>43404</v>
      </c>
      <c r="E48" s="128">
        <v>43404</v>
      </c>
      <c r="F48" s="127">
        <v>1</v>
      </c>
      <c r="G48" s="127" t="s">
        <v>206</v>
      </c>
      <c r="H48" s="127">
        <v>100</v>
      </c>
      <c r="I48" s="127"/>
      <c r="N48">
        <f t="shared" si="1"/>
        <v>2</v>
      </c>
    </row>
    <row r="49" spans="1:14" x14ac:dyDescent="0.2">
      <c r="A49" s="127">
        <v>3549</v>
      </c>
      <c r="B49" s="127">
        <v>49954250</v>
      </c>
      <c r="C49" s="127" t="s">
        <v>161</v>
      </c>
      <c r="D49" s="128">
        <v>43404</v>
      </c>
      <c r="E49" s="128">
        <v>43404</v>
      </c>
      <c r="F49" s="127">
        <v>1</v>
      </c>
      <c r="G49" s="127" t="s">
        <v>206</v>
      </c>
      <c r="H49" s="127">
        <v>100</v>
      </c>
      <c r="I49" s="127"/>
      <c r="N49" t="e">
        <f t="shared" si="1"/>
        <v>#N/A</v>
      </c>
    </row>
    <row r="50" spans="1:14" x14ac:dyDescent="0.2">
      <c r="A50" s="127">
        <v>3550</v>
      </c>
      <c r="B50" s="127">
        <v>49954263</v>
      </c>
      <c r="C50" s="127" t="s">
        <v>129</v>
      </c>
      <c r="D50" s="128">
        <v>43404</v>
      </c>
      <c r="E50" s="128">
        <v>43404</v>
      </c>
      <c r="F50" s="127">
        <v>1</v>
      </c>
      <c r="G50" s="127" t="s">
        <v>206</v>
      </c>
      <c r="H50" s="127">
        <v>50</v>
      </c>
      <c r="I50" s="127"/>
      <c r="N50" t="e">
        <f t="shared" si="1"/>
        <v>#N/A</v>
      </c>
    </row>
    <row r="51" spans="1:14" x14ac:dyDescent="0.2">
      <c r="A51" s="127">
        <v>3551</v>
      </c>
      <c r="B51" s="127">
        <v>49954276</v>
      </c>
      <c r="C51" s="127" t="s">
        <v>125</v>
      </c>
      <c r="D51" s="128">
        <v>43404</v>
      </c>
      <c r="E51" s="128">
        <v>43404</v>
      </c>
      <c r="F51" s="127">
        <v>1</v>
      </c>
      <c r="G51" s="127" t="s">
        <v>206</v>
      </c>
      <c r="H51" s="127">
        <v>100</v>
      </c>
      <c r="I51" s="127"/>
      <c r="N51">
        <f t="shared" si="1"/>
        <v>4</v>
      </c>
    </row>
    <row r="52" spans="1:14" x14ac:dyDescent="0.2">
      <c r="A52" s="127">
        <v>3552</v>
      </c>
      <c r="B52" s="127">
        <v>49954278</v>
      </c>
      <c r="C52" s="127" t="s">
        <v>132</v>
      </c>
      <c r="D52" s="128">
        <v>43404</v>
      </c>
      <c r="E52" s="128">
        <v>43404</v>
      </c>
      <c r="F52" s="127">
        <v>1</v>
      </c>
      <c r="G52" s="127" t="s">
        <v>206</v>
      </c>
      <c r="H52" s="127">
        <v>100</v>
      </c>
      <c r="I52" s="127"/>
      <c r="N52" t="e">
        <f t="shared" si="1"/>
        <v>#N/A</v>
      </c>
    </row>
    <row r="53" spans="1:14" x14ac:dyDescent="0.2">
      <c r="A53" s="127">
        <v>3664</v>
      </c>
      <c r="B53" s="127">
        <v>49954279</v>
      </c>
      <c r="C53" s="127" t="s">
        <v>128</v>
      </c>
      <c r="D53" s="128">
        <v>43404</v>
      </c>
      <c r="E53" s="128">
        <v>43404</v>
      </c>
      <c r="F53" s="127">
        <v>1</v>
      </c>
      <c r="G53" s="127" t="s">
        <v>206</v>
      </c>
      <c r="H53" s="127">
        <v>0</v>
      </c>
      <c r="I53" s="127"/>
      <c r="N53" t="e">
        <f t="shared" si="1"/>
        <v>#N/A</v>
      </c>
    </row>
    <row r="54" spans="1:14" x14ac:dyDescent="0.2">
      <c r="A54" s="127">
        <v>3665</v>
      </c>
      <c r="B54" s="127">
        <v>49954282</v>
      </c>
      <c r="C54" s="127" t="s">
        <v>123</v>
      </c>
      <c r="D54" s="128">
        <v>43404</v>
      </c>
      <c r="E54" s="128">
        <v>43404</v>
      </c>
      <c r="F54" s="127">
        <v>1</v>
      </c>
      <c r="G54" s="127" t="s">
        <v>206</v>
      </c>
      <c r="H54" s="127">
        <v>50</v>
      </c>
      <c r="I54" s="127"/>
      <c r="N54">
        <f t="shared" si="1"/>
        <v>4</v>
      </c>
    </row>
    <row r="55" spans="1:14" x14ac:dyDescent="0.2">
      <c r="A55" s="127">
        <v>3666</v>
      </c>
      <c r="B55" s="127">
        <v>49954284</v>
      </c>
      <c r="C55" s="127" t="s">
        <v>124</v>
      </c>
      <c r="D55" s="128">
        <v>43404</v>
      </c>
      <c r="E55" s="128">
        <v>43404</v>
      </c>
      <c r="F55" s="127">
        <v>1</v>
      </c>
      <c r="G55" s="127" t="s">
        <v>206</v>
      </c>
      <c r="H55" s="127">
        <v>50</v>
      </c>
      <c r="I55" s="127"/>
      <c r="N55">
        <f t="shared" si="1"/>
        <v>2</v>
      </c>
    </row>
    <row r="56" spans="1:14" x14ac:dyDescent="0.2">
      <c r="A56" s="127">
        <v>3667</v>
      </c>
      <c r="B56" s="127">
        <v>49954285</v>
      </c>
      <c r="C56" s="127" t="s">
        <v>162</v>
      </c>
      <c r="D56" s="128">
        <v>43404</v>
      </c>
      <c r="E56" s="128">
        <v>43404</v>
      </c>
      <c r="F56" s="127">
        <v>1</v>
      </c>
      <c r="G56" s="127" t="s">
        <v>206</v>
      </c>
      <c r="H56" s="127">
        <v>0</v>
      </c>
      <c r="I56" s="127"/>
      <c r="N56" t="e">
        <f t="shared" si="1"/>
        <v>#N/A</v>
      </c>
    </row>
    <row r="57" spans="1:14" x14ac:dyDescent="0.2">
      <c r="A57" s="127">
        <v>3668</v>
      </c>
      <c r="B57" s="127">
        <v>49954286</v>
      </c>
      <c r="C57" s="127" t="s">
        <v>158</v>
      </c>
      <c r="D57" s="128">
        <v>43404</v>
      </c>
      <c r="E57" s="128">
        <v>43404</v>
      </c>
      <c r="F57" s="127">
        <v>1</v>
      </c>
      <c r="G57" s="127" t="s">
        <v>206</v>
      </c>
      <c r="H57" s="127">
        <v>100</v>
      </c>
      <c r="I57" s="127"/>
      <c r="N57">
        <f t="shared" si="1"/>
        <v>1</v>
      </c>
    </row>
    <row r="58" spans="1:14" x14ac:dyDescent="0.2">
      <c r="A58" s="127">
        <v>3669</v>
      </c>
      <c r="B58" s="127">
        <v>49954287</v>
      </c>
      <c r="C58" s="127" t="s">
        <v>126</v>
      </c>
      <c r="D58" s="128">
        <v>43404</v>
      </c>
      <c r="E58" s="128">
        <v>43404</v>
      </c>
      <c r="F58" s="127">
        <v>1</v>
      </c>
      <c r="G58" s="127" t="s">
        <v>206</v>
      </c>
      <c r="H58" s="127">
        <v>100</v>
      </c>
      <c r="I58" s="127"/>
      <c r="N58" t="e">
        <f t="shared" si="1"/>
        <v>#N/A</v>
      </c>
    </row>
    <row r="59" spans="1:14" x14ac:dyDescent="0.2">
      <c r="A59" s="127">
        <v>3670</v>
      </c>
      <c r="B59" s="127">
        <v>49954288</v>
      </c>
      <c r="C59" s="127" t="s">
        <v>157</v>
      </c>
      <c r="D59" s="128">
        <v>43404</v>
      </c>
      <c r="E59" s="128">
        <v>43404</v>
      </c>
      <c r="F59" s="127">
        <v>1</v>
      </c>
      <c r="G59" s="127" t="s">
        <v>206</v>
      </c>
      <c r="H59" s="127">
        <v>100</v>
      </c>
      <c r="I59" s="127"/>
      <c r="N59" t="e">
        <f t="shared" si="1"/>
        <v>#N/A</v>
      </c>
    </row>
    <row r="60" spans="1:14" x14ac:dyDescent="0.2">
      <c r="A60" s="127">
        <v>3671</v>
      </c>
      <c r="B60" s="127">
        <v>49954302</v>
      </c>
      <c r="C60" s="127" t="s">
        <v>156</v>
      </c>
      <c r="D60" s="128">
        <v>43404</v>
      </c>
      <c r="E60" s="128">
        <v>43404</v>
      </c>
      <c r="F60" s="127">
        <v>1</v>
      </c>
      <c r="G60" s="127" t="s">
        <v>206</v>
      </c>
      <c r="H60" s="127">
        <v>100</v>
      </c>
      <c r="I60" s="127"/>
      <c r="N60" t="e">
        <f t="shared" si="1"/>
        <v>#N/A</v>
      </c>
    </row>
    <row r="61" spans="1:14" x14ac:dyDescent="0.2">
      <c r="A61" s="127">
        <v>3672</v>
      </c>
      <c r="B61" s="127">
        <v>49954307</v>
      </c>
      <c r="C61" s="127" t="s">
        <v>131</v>
      </c>
      <c r="D61" s="128">
        <v>43404</v>
      </c>
      <c r="E61" s="128">
        <v>43404</v>
      </c>
      <c r="F61" s="127">
        <v>1</v>
      </c>
      <c r="G61" s="127" t="s">
        <v>206</v>
      </c>
      <c r="H61" s="127">
        <v>100</v>
      </c>
      <c r="I61" s="127"/>
      <c r="N61" t="e">
        <f t="shared" si="1"/>
        <v>#N/A</v>
      </c>
    </row>
    <row r="62" spans="1:14" x14ac:dyDescent="0.2">
      <c r="A62" s="127">
        <v>3673</v>
      </c>
      <c r="B62" s="127">
        <v>49954309</v>
      </c>
      <c r="C62" s="127" t="s">
        <v>130</v>
      </c>
      <c r="D62" s="128">
        <v>43404</v>
      </c>
      <c r="E62" s="128">
        <v>43404</v>
      </c>
      <c r="F62" s="127">
        <v>1</v>
      </c>
      <c r="G62" s="127" t="s">
        <v>206</v>
      </c>
      <c r="H62" s="127">
        <v>100</v>
      </c>
      <c r="I62" s="127"/>
      <c r="N62" t="e">
        <f t="shared" si="1"/>
        <v>#N/A</v>
      </c>
    </row>
    <row r="63" spans="1:14" x14ac:dyDescent="0.2">
      <c r="A63" s="127">
        <v>3674</v>
      </c>
      <c r="B63" s="127">
        <v>49954311</v>
      </c>
      <c r="C63" s="127" t="s">
        <v>191</v>
      </c>
      <c r="D63" s="128">
        <v>43404</v>
      </c>
      <c r="E63" s="128">
        <v>43404</v>
      </c>
      <c r="F63" s="127">
        <v>1</v>
      </c>
      <c r="G63" s="127" t="s">
        <v>206</v>
      </c>
      <c r="H63" s="127">
        <v>100</v>
      </c>
      <c r="I63" s="127"/>
      <c r="N63">
        <f t="shared" si="1"/>
        <v>2</v>
      </c>
    </row>
    <row r="64" spans="1:14" x14ac:dyDescent="0.2">
      <c r="A64" s="127">
        <v>3675</v>
      </c>
      <c r="B64" s="127">
        <v>49954322</v>
      </c>
      <c r="C64" s="127" t="s">
        <v>129</v>
      </c>
      <c r="D64" s="128">
        <v>43404</v>
      </c>
      <c r="E64" s="128">
        <v>43404</v>
      </c>
      <c r="F64" s="127">
        <v>1</v>
      </c>
      <c r="G64" s="127" t="s">
        <v>206</v>
      </c>
      <c r="H64" s="127">
        <v>100</v>
      </c>
      <c r="I64" s="127"/>
      <c r="N64" t="e">
        <f t="shared" si="1"/>
        <v>#N/A</v>
      </c>
    </row>
    <row r="65" spans="1:14" x14ac:dyDescent="0.2">
      <c r="A65" s="127">
        <v>3676</v>
      </c>
      <c r="B65" s="127">
        <v>49954324</v>
      </c>
      <c r="C65" s="127" t="s">
        <v>190</v>
      </c>
      <c r="D65" s="128">
        <v>43404</v>
      </c>
      <c r="E65" s="128">
        <v>43404</v>
      </c>
      <c r="F65" s="127">
        <v>1</v>
      </c>
      <c r="G65" s="127" t="s">
        <v>206</v>
      </c>
      <c r="H65" s="127">
        <v>100</v>
      </c>
      <c r="I65" s="127"/>
      <c r="N65" t="e">
        <f t="shared" si="1"/>
        <v>#N/A</v>
      </c>
    </row>
    <row r="66" spans="1:14" x14ac:dyDescent="0.2">
      <c r="A66" s="127">
        <v>3677</v>
      </c>
      <c r="B66" s="127">
        <v>49954327</v>
      </c>
      <c r="C66" s="127" t="s">
        <v>127</v>
      </c>
      <c r="D66" s="128">
        <v>43404</v>
      </c>
      <c r="E66" s="128">
        <v>43404</v>
      </c>
      <c r="F66" s="127">
        <v>1</v>
      </c>
      <c r="G66" s="127" t="s">
        <v>206</v>
      </c>
      <c r="H66" s="127">
        <v>100</v>
      </c>
      <c r="I66" s="127"/>
      <c r="N66" t="e">
        <f t="shared" ref="N66:N97" si="2">VLOOKUP(REPLACE(C66,1,8," "),$W$2:$X$46,2,FALSE)</f>
        <v>#N/A</v>
      </c>
    </row>
    <row r="67" spans="1:14" x14ac:dyDescent="0.2">
      <c r="A67" s="127">
        <v>3678</v>
      </c>
      <c r="B67" s="127">
        <v>49954328</v>
      </c>
      <c r="C67" s="127" t="s">
        <v>125</v>
      </c>
      <c r="D67" s="128">
        <v>43404</v>
      </c>
      <c r="E67" s="128">
        <v>43404</v>
      </c>
      <c r="F67" s="127">
        <v>1</v>
      </c>
      <c r="G67" s="127" t="s">
        <v>206</v>
      </c>
      <c r="H67" s="127">
        <v>75</v>
      </c>
      <c r="I67" s="127"/>
      <c r="N67">
        <f t="shared" si="2"/>
        <v>4</v>
      </c>
    </row>
    <row r="68" spans="1:14" x14ac:dyDescent="0.2">
      <c r="A68" s="127">
        <v>3679</v>
      </c>
      <c r="B68" s="127">
        <v>49954329</v>
      </c>
      <c r="C68" s="127" t="s">
        <v>132</v>
      </c>
      <c r="D68" s="128">
        <v>43404</v>
      </c>
      <c r="E68" s="128">
        <v>43404</v>
      </c>
      <c r="F68" s="127">
        <v>1</v>
      </c>
      <c r="G68" s="127" t="s">
        <v>206</v>
      </c>
      <c r="H68" s="127">
        <v>50</v>
      </c>
      <c r="I68" s="127"/>
      <c r="N68" t="e">
        <f t="shared" si="2"/>
        <v>#N/A</v>
      </c>
    </row>
    <row r="69" spans="1:14" x14ac:dyDescent="0.2">
      <c r="A69" s="127">
        <v>3599</v>
      </c>
      <c r="B69" s="127">
        <v>49954330</v>
      </c>
      <c r="C69" s="127" t="s">
        <v>123</v>
      </c>
      <c r="D69" s="128">
        <v>43404</v>
      </c>
      <c r="E69" s="128">
        <v>43404</v>
      </c>
      <c r="F69" s="127">
        <v>1</v>
      </c>
      <c r="G69" s="127" t="s">
        <v>206</v>
      </c>
      <c r="H69" s="127">
        <v>75</v>
      </c>
      <c r="I69" s="127"/>
      <c r="N69">
        <f t="shared" si="2"/>
        <v>4</v>
      </c>
    </row>
    <row r="70" spans="1:14" x14ac:dyDescent="0.2">
      <c r="A70" s="127">
        <v>3600</v>
      </c>
      <c r="B70" s="127">
        <v>49954332</v>
      </c>
      <c r="C70" s="127" t="s">
        <v>124</v>
      </c>
      <c r="D70" s="128">
        <v>43404</v>
      </c>
      <c r="E70" s="128">
        <v>43404</v>
      </c>
      <c r="F70" s="127">
        <v>1</v>
      </c>
      <c r="G70" s="127" t="s">
        <v>206</v>
      </c>
      <c r="H70" s="127">
        <v>100</v>
      </c>
      <c r="I70" s="127"/>
      <c r="N70">
        <f t="shared" si="2"/>
        <v>2</v>
      </c>
    </row>
    <row r="71" spans="1:14" x14ac:dyDescent="0.2">
      <c r="A71" s="127">
        <v>3601</v>
      </c>
      <c r="B71" s="127">
        <v>49954333</v>
      </c>
      <c r="C71" s="127" t="s">
        <v>158</v>
      </c>
      <c r="D71" s="128">
        <v>43404</v>
      </c>
      <c r="E71" s="128">
        <v>43404</v>
      </c>
      <c r="F71" s="127">
        <v>1</v>
      </c>
      <c r="G71" s="127" t="s">
        <v>206</v>
      </c>
      <c r="H71" s="127">
        <v>100</v>
      </c>
      <c r="I71" s="127"/>
      <c r="N71">
        <f t="shared" si="2"/>
        <v>1</v>
      </c>
    </row>
    <row r="72" spans="1:14" x14ac:dyDescent="0.2">
      <c r="A72" s="127">
        <v>3602</v>
      </c>
      <c r="B72" s="127">
        <v>49954334</v>
      </c>
      <c r="C72" s="127" t="s">
        <v>126</v>
      </c>
      <c r="D72" s="128">
        <v>43404</v>
      </c>
      <c r="E72" s="128">
        <v>43404</v>
      </c>
      <c r="F72" s="127">
        <v>1</v>
      </c>
      <c r="G72" s="127" t="s">
        <v>206</v>
      </c>
      <c r="H72" s="127">
        <v>100</v>
      </c>
      <c r="I72" s="127"/>
      <c r="N72" t="e">
        <f t="shared" si="2"/>
        <v>#N/A</v>
      </c>
    </row>
    <row r="73" spans="1:14" x14ac:dyDescent="0.2">
      <c r="A73" s="127">
        <v>3603</v>
      </c>
      <c r="B73" s="127">
        <v>49954335</v>
      </c>
      <c r="C73" s="127" t="s">
        <v>157</v>
      </c>
      <c r="D73" s="128">
        <v>43404</v>
      </c>
      <c r="E73" s="128">
        <v>43404</v>
      </c>
      <c r="F73" s="127">
        <v>1</v>
      </c>
      <c r="G73" s="127" t="s">
        <v>206</v>
      </c>
      <c r="H73" s="127">
        <v>100</v>
      </c>
      <c r="I73" s="127"/>
      <c r="N73" t="e">
        <f t="shared" si="2"/>
        <v>#N/A</v>
      </c>
    </row>
    <row r="74" spans="1:14" x14ac:dyDescent="0.2">
      <c r="A74" s="127">
        <v>3604</v>
      </c>
      <c r="B74" s="127">
        <v>49954336</v>
      </c>
      <c r="C74" s="127" t="s">
        <v>156</v>
      </c>
      <c r="D74" s="128">
        <v>43404</v>
      </c>
      <c r="E74" s="128">
        <v>43404</v>
      </c>
      <c r="F74" s="127">
        <v>1</v>
      </c>
      <c r="G74" s="127" t="s">
        <v>206</v>
      </c>
      <c r="H74" s="127">
        <v>100</v>
      </c>
      <c r="I74" s="127"/>
      <c r="N74" t="e">
        <f t="shared" si="2"/>
        <v>#N/A</v>
      </c>
    </row>
    <row r="75" spans="1:14" x14ac:dyDescent="0.2">
      <c r="A75" s="127">
        <v>3605</v>
      </c>
      <c r="B75" s="127">
        <v>49954337</v>
      </c>
      <c r="C75" s="127" t="s">
        <v>131</v>
      </c>
      <c r="D75" s="128">
        <v>43404</v>
      </c>
      <c r="E75" s="128">
        <v>43404</v>
      </c>
      <c r="F75" s="127">
        <v>1</v>
      </c>
      <c r="G75" s="127" t="s">
        <v>206</v>
      </c>
      <c r="H75" s="127">
        <v>100</v>
      </c>
      <c r="I75" s="127"/>
      <c r="N75" t="e">
        <f t="shared" si="2"/>
        <v>#N/A</v>
      </c>
    </row>
    <row r="76" spans="1:14" x14ac:dyDescent="0.2">
      <c r="A76" s="127">
        <v>3606</v>
      </c>
      <c r="B76" s="127">
        <v>49954338</v>
      </c>
      <c r="C76" s="127" t="s">
        <v>130</v>
      </c>
      <c r="D76" s="128">
        <v>43404</v>
      </c>
      <c r="E76" s="128">
        <v>43404</v>
      </c>
      <c r="F76" s="127">
        <v>1</v>
      </c>
      <c r="G76" s="127" t="s">
        <v>206</v>
      </c>
      <c r="H76" s="127">
        <v>100</v>
      </c>
      <c r="I76" s="127"/>
      <c r="N76" t="e">
        <f t="shared" si="2"/>
        <v>#N/A</v>
      </c>
    </row>
    <row r="77" spans="1:14" x14ac:dyDescent="0.2">
      <c r="A77" s="127">
        <v>3607</v>
      </c>
      <c r="B77" s="127">
        <v>49954339</v>
      </c>
      <c r="C77" s="127" t="s">
        <v>128</v>
      </c>
      <c r="D77" s="128">
        <v>43404</v>
      </c>
      <c r="E77" s="128">
        <v>43404</v>
      </c>
      <c r="F77" s="127">
        <v>1</v>
      </c>
      <c r="G77" s="127" t="s">
        <v>206</v>
      </c>
      <c r="H77" s="127">
        <v>0</v>
      </c>
      <c r="I77" s="127"/>
      <c r="N77" t="e">
        <f t="shared" si="2"/>
        <v>#N/A</v>
      </c>
    </row>
    <row r="78" spans="1:14" x14ac:dyDescent="0.2">
      <c r="A78" s="127">
        <v>3608</v>
      </c>
      <c r="B78" s="127">
        <v>49954340</v>
      </c>
      <c r="C78" s="127" t="s">
        <v>129</v>
      </c>
      <c r="D78" s="128">
        <v>43404</v>
      </c>
      <c r="E78" s="128">
        <v>43404</v>
      </c>
      <c r="F78" s="127">
        <v>1</v>
      </c>
      <c r="G78" s="127" t="s">
        <v>206</v>
      </c>
      <c r="H78" s="127">
        <v>100</v>
      </c>
      <c r="I78" s="127"/>
      <c r="N78" t="e">
        <f t="shared" si="2"/>
        <v>#N/A</v>
      </c>
    </row>
    <row r="79" spans="1:14" x14ac:dyDescent="0.2">
      <c r="A79" s="127">
        <v>3609</v>
      </c>
      <c r="B79" s="127">
        <v>49954341</v>
      </c>
      <c r="C79" s="127" t="s">
        <v>190</v>
      </c>
      <c r="D79" s="128">
        <v>43404</v>
      </c>
      <c r="E79" s="128">
        <v>43404</v>
      </c>
      <c r="F79" s="127">
        <v>1</v>
      </c>
      <c r="G79" s="127" t="s">
        <v>206</v>
      </c>
      <c r="H79" s="127">
        <v>100</v>
      </c>
      <c r="I79" s="127"/>
      <c r="N79" t="e">
        <f t="shared" si="2"/>
        <v>#N/A</v>
      </c>
    </row>
    <row r="80" spans="1:14" x14ac:dyDescent="0.2">
      <c r="A80" s="127">
        <v>3610</v>
      </c>
      <c r="B80" s="127">
        <v>49954342</v>
      </c>
      <c r="C80" s="127" t="s">
        <v>127</v>
      </c>
      <c r="D80" s="128">
        <v>43404</v>
      </c>
      <c r="E80" s="128">
        <v>43404</v>
      </c>
      <c r="F80" s="127">
        <v>1</v>
      </c>
      <c r="G80" s="127" t="s">
        <v>206</v>
      </c>
      <c r="H80" s="127">
        <v>100</v>
      </c>
      <c r="I80" s="127"/>
      <c r="N80" t="e">
        <f t="shared" si="2"/>
        <v>#N/A</v>
      </c>
    </row>
    <row r="81" spans="1:14" x14ac:dyDescent="0.2">
      <c r="A81" s="127">
        <v>3611</v>
      </c>
      <c r="B81" s="127">
        <v>49954343</v>
      </c>
      <c r="C81" s="127" t="s">
        <v>125</v>
      </c>
      <c r="D81" s="128">
        <v>43404</v>
      </c>
      <c r="E81" s="128">
        <v>43404</v>
      </c>
      <c r="F81" s="127">
        <v>1</v>
      </c>
      <c r="G81" s="127" t="s">
        <v>206</v>
      </c>
      <c r="H81" s="127">
        <v>50</v>
      </c>
      <c r="I81" s="127"/>
      <c r="N81">
        <f t="shared" si="2"/>
        <v>4</v>
      </c>
    </row>
    <row r="82" spans="1:14" x14ac:dyDescent="0.2">
      <c r="A82" s="127">
        <v>3612</v>
      </c>
      <c r="B82" s="127">
        <v>49954344</v>
      </c>
      <c r="C82" s="127" t="s">
        <v>132</v>
      </c>
      <c r="D82" s="128">
        <v>43404</v>
      </c>
      <c r="E82" s="128">
        <v>43404</v>
      </c>
      <c r="F82" s="127">
        <v>1</v>
      </c>
      <c r="G82" s="127" t="s">
        <v>206</v>
      </c>
      <c r="H82" s="127">
        <v>100</v>
      </c>
      <c r="I82" s="127"/>
      <c r="N82" t="e">
        <f t="shared" si="2"/>
        <v>#N/A</v>
      </c>
    </row>
    <row r="83" spans="1:14" x14ac:dyDescent="0.2">
      <c r="N83" t="e">
        <f t="shared" si="2"/>
        <v>#N/A</v>
      </c>
    </row>
    <row r="84" spans="1:14" x14ac:dyDescent="0.2">
      <c r="N84" t="e">
        <f t="shared" si="2"/>
        <v>#N/A</v>
      </c>
    </row>
    <row r="85" spans="1:14" x14ac:dyDescent="0.2">
      <c r="N85" t="e">
        <f t="shared" si="2"/>
        <v>#N/A</v>
      </c>
    </row>
    <row r="86" spans="1:14" x14ac:dyDescent="0.2">
      <c r="N86" t="e">
        <f t="shared" si="2"/>
        <v>#N/A</v>
      </c>
    </row>
    <row r="87" spans="1:14" x14ac:dyDescent="0.2">
      <c r="N87" t="e">
        <f t="shared" si="2"/>
        <v>#N/A</v>
      </c>
    </row>
    <row r="88" spans="1:14" x14ac:dyDescent="0.2">
      <c r="N88" t="e">
        <f t="shared" si="2"/>
        <v>#N/A</v>
      </c>
    </row>
    <row r="89" spans="1:14" x14ac:dyDescent="0.2">
      <c r="N89" t="e">
        <f t="shared" si="2"/>
        <v>#N/A</v>
      </c>
    </row>
    <row r="90" spans="1:14" x14ac:dyDescent="0.2">
      <c r="N90" t="e">
        <f t="shared" si="2"/>
        <v>#N/A</v>
      </c>
    </row>
    <row r="91" spans="1:14" x14ac:dyDescent="0.2">
      <c r="N91" t="e">
        <f t="shared" si="2"/>
        <v>#N/A</v>
      </c>
    </row>
    <row r="92" spans="1:14" x14ac:dyDescent="0.2">
      <c r="N92" t="e">
        <f t="shared" si="2"/>
        <v>#N/A</v>
      </c>
    </row>
    <row r="93" spans="1:14" x14ac:dyDescent="0.2">
      <c r="N93" t="e">
        <f t="shared" si="2"/>
        <v>#N/A</v>
      </c>
    </row>
    <row r="94" spans="1:14" x14ac:dyDescent="0.2">
      <c r="N94" t="e">
        <f t="shared" si="2"/>
        <v>#N/A</v>
      </c>
    </row>
    <row r="95" spans="1:14" x14ac:dyDescent="0.2">
      <c r="N95" t="e">
        <f t="shared" si="2"/>
        <v>#N/A</v>
      </c>
    </row>
    <row r="96" spans="1:14" x14ac:dyDescent="0.2">
      <c r="N96" t="e">
        <f t="shared" si="2"/>
        <v>#N/A</v>
      </c>
    </row>
    <row r="97" spans="14:14" x14ac:dyDescent="0.2">
      <c r="N97" t="e">
        <f t="shared" si="2"/>
        <v>#N/A</v>
      </c>
    </row>
    <row r="98" spans="14:14" x14ac:dyDescent="0.2">
      <c r="N98" t="e">
        <f t="shared" ref="N98:N129" si="3">VLOOKUP(REPLACE(C98,1,8," "),$W$2:$X$46,2,FALSE)</f>
        <v>#N/A</v>
      </c>
    </row>
    <row r="99" spans="14:14" x14ac:dyDescent="0.2">
      <c r="N99" t="e">
        <f t="shared" si="3"/>
        <v>#N/A</v>
      </c>
    </row>
    <row r="100" spans="14:14" x14ac:dyDescent="0.2">
      <c r="N100" t="e">
        <f t="shared" si="3"/>
        <v>#N/A</v>
      </c>
    </row>
    <row r="101" spans="14:14" x14ac:dyDescent="0.2">
      <c r="N101" t="e">
        <f t="shared" si="3"/>
        <v>#N/A</v>
      </c>
    </row>
    <row r="102" spans="14:14" x14ac:dyDescent="0.2">
      <c r="N102" t="e">
        <f t="shared" si="3"/>
        <v>#N/A</v>
      </c>
    </row>
    <row r="103" spans="14:14" x14ac:dyDescent="0.2">
      <c r="N103" t="e">
        <f t="shared" si="3"/>
        <v>#N/A</v>
      </c>
    </row>
    <row r="104" spans="14:14" x14ac:dyDescent="0.2">
      <c r="N104" t="e">
        <f t="shared" si="3"/>
        <v>#N/A</v>
      </c>
    </row>
    <row r="105" spans="14:14" x14ac:dyDescent="0.2">
      <c r="N105" t="e">
        <f t="shared" si="3"/>
        <v>#N/A</v>
      </c>
    </row>
    <row r="106" spans="14:14" x14ac:dyDescent="0.2">
      <c r="N106" t="e">
        <f t="shared" si="3"/>
        <v>#N/A</v>
      </c>
    </row>
    <row r="107" spans="14:14" x14ac:dyDescent="0.2">
      <c r="N107" t="e">
        <f t="shared" si="3"/>
        <v>#N/A</v>
      </c>
    </row>
    <row r="108" spans="14:14" x14ac:dyDescent="0.2">
      <c r="N108" t="e">
        <f t="shared" si="3"/>
        <v>#N/A</v>
      </c>
    </row>
    <row r="109" spans="14:14" x14ac:dyDescent="0.2">
      <c r="N109" t="e">
        <f t="shared" si="3"/>
        <v>#N/A</v>
      </c>
    </row>
    <row r="110" spans="14:14" x14ac:dyDescent="0.2">
      <c r="N110" t="e">
        <f t="shared" si="3"/>
        <v>#N/A</v>
      </c>
    </row>
    <row r="111" spans="14:14" x14ac:dyDescent="0.2">
      <c r="N111" t="e">
        <f t="shared" si="3"/>
        <v>#N/A</v>
      </c>
    </row>
    <row r="112" spans="14:14" x14ac:dyDescent="0.2">
      <c r="N112" t="e">
        <f t="shared" si="3"/>
        <v>#N/A</v>
      </c>
    </row>
    <row r="113" spans="14:14" x14ac:dyDescent="0.2">
      <c r="N113" t="e">
        <f t="shared" si="3"/>
        <v>#N/A</v>
      </c>
    </row>
    <row r="114" spans="14:14" x14ac:dyDescent="0.2">
      <c r="N114" t="e">
        <f t="shared" si="3"/>
        <v>#N/A</v>
      </c>
    </row>
    <row r="115" spans="14:14" x14ac:dyDescent="0.2">
      <c r="N115" t="e">
        <f t="shared" si="3"/>
        <v>#N/A</v>
      </c>
    </row>
    <row r="116" spans="14:14" x14ac:dyDescent="0.2">
      <c r="N116" t="e">
        <f t="shared" si="3"/>
        <v>#N/A</v>
      </c>
    </row>
    <row r="117" spans="14:14" x14ac:dyDescent="0.2">
      <c r="N117" t="e">
        <f t="shared" si="3"/>
        <v>#N/A</v>
      </c>
    </row>
    <row r="118" spans="14:14" x14ac:dyDescent="0.2">
      <c r="N118" t="e">
        <f t="shared" si="3"/>
        <v>#N/A</v>
      </c>
    </row>
    <row r="119" spans="14:14" x14ac:dyDescent="0.2">
      <c r="N119" t="e">
        <f t="shared" si="3"/>
        <v>#N/A</v>
      </c>
    </row>
    <row r="120" spans="14:14" x14ac:dyDescent="0.2">
      <c r="N120" t="e">
        <f t="shared" si="3"/>
        <v>#N/A</v>
      </c>
    </row>
    <row r="121" spans="14:14" x14ac:dyDescent="0.2">
      <c r="N121" t="e">
        <f t="shared" si="3"/>
        <v>#N/A</v>
      </c>
    </row>
    <row r="122" spans="14:14" x14ac:dyDescent="0.2">
      <c r="N122" t="e">
        <f t="shared" si="3"/>
        <v>#N/A</v>
      </c>
    </row>
    <row r="123" spans="14:14" x14ac:dyDescent="0.2">
      <c r="N123" t="e">
        <f t="shared" si="3"/>
        <v>#N/A</v>
      </c>
    </row>
    <row r="124" spans="14:14" x14ac:dyDescent="0.2">
      <c r="N124" t="e">
        <f t="shared" si="3"/>
        <v>#N/A</v>
      </c>
    </row>
    <row r="125" spans="14:14" x14ac:dyDescent="0.2">
      <c r="N125" t="e">
        <f t="shared" si="3"/>
        <v>#N/A</v>
      </c>
    </row>
    <row r="126" spans="14:14" x14ac:dyDescent="0.2">
      <c r="N126" t="e">
        <f t="shared" si="3"/>
        <v>#N/A</v>
      </c>
    </row>
    <row r="127" spans="14:14" x14ac:dyDescent="0.2">
      <c r="N127" t="e">
        <f t="shared" si="3"/>
        <v>#N/A</v>
      </c>
    </row>
    <row r="128" spans="14:14" x14ac:dyDescent="0.2">
      <c r="N128" t="e">
        <f t="shared" si="3"/>
        <v>#N/A</v>
      </c>
    </row>
    <row r="129" spans="14:14" x14ac:dyDescent="0.2">
      <c r="N129" t="e">
        <f t="shared" si="3"/>
        <v>#N/A</v>
      </c>
    </row>
    <row r="130" spans="14:14" x14ac:dyDescent="0.2">
      <c r="N130" t="e">
        <f t="shared" ref="N130:N161" si="4">VLOOKUP(REPLACE(C130,1,8," "),$W$2:$X$46,2,FALSE)</f>
        <v>#N/A</v>
      </c>
    </row>
    <row r="131" spans="14:14" x14ac:dyDescent="0.2">
      <c r="N131" t="e">
        <f t="shared" si="4"/>
        <v>#N/A</v>
      </c>
    </row>
    <row r="132" spans="14:14" x14ac:dyDescent="0.2">
      <c r="N132" t="e">
        <f t="shared" si="4"/>
        <v>#N/A</v>
      </c>
    </row>
    <row r="133" spans="14:14" x14ac:dyDescent="0.2">
      <c r="N133" t="e">
        <f t="shared" si="4"/>
        <v>#N/A</v>
      </c>
    </row>
    <row r="134" spans="14:14" x14ac:dyDescent="0.2">
      <c r="N134" t="e">
        <f t="shared" si="4"/>
        <v>#N/A</v>
      </c>
    </row>
    <row r="135" spans="14:14" x14ac:dyDescent="0.2">
      <c r="N135" t="e">
        <f t="shared" si="4"/>
        <v>#N/A</v>
      </c>
    </row>
    <row r="136" spans="14:14" x14ac:dyDescent="0.2">
      <c r="N136" t="e">
        <f t="shared" si="4"/>
        <v>#N/A</v>
      </c>
    </row>
    <row r="137" spans="14:14" x14ac:dyDescent="0.2">
      <c r="N137" t="e">
        <f t="shared" si="4"/>
        <v>#N/A</v>
      </c>
    </row>
    <row r="138" spans="14:14" x14ac:dyDescent="0.2">
      <c r="N138" t="e">
        <f t="shared" si="4"/>
        <v>#N/A</v>
      </c>
    </row>
    <row r="139" spans="14:14" x14ac:dyDescent="0.2">
      <c r="N139" t="e">
        <f t="shared" si="4"/>
        <v>#N/A</v>
      </c>
    </row>
    <row r="140" spans="14:14" x14ac:dyDescent="0.2">
      <c r="N140" t="e">
        <f t="shared" si="4"/>
        <v>#N/A</v>
      </c>
    </row>
    <row r="141" spans="14:14" x14ac:dyDescent="0.2">
      <c r="N141" t="e">
        <f t="shared" si="4"/>
        <v>#N/A</v>
      </c>
    </row>
    <row r="142" spans="14:14" x14ac:dyDescent="0.2">
      <c r="N142" t="e">
        <f t="shared" si="4"/>
        <v>#N/A</v>
      </c>
    </row>
    <row r="143" spans="14:14" x14ac:dyDescent="0.2">
      <c r="N143" t="e">
        <f t="shared" si="4"/>
        <v>#N/A</v>
      </c>
    </row>
    <row r="144" spans="14:14" x14ac:dyDescent="0.2">
      <c r="N144" t="e">
        <f t="shared" si="4"/>
        <v>#N/A</v>
      </c>
    </row>
    <row r="145" spans="14:14" x14ac:dyDescent="0.2">
      <c r="N145" t="e">
        <f t="shared" si="4"/>
        <v>#N/A</v>
      </c>
    </row>
    <row r="146" spans="14:14" x14ac:dyDescent="0.2">
      <c r="N146" t="e">
        <f t="shared" si="4"/>
        <v>#N/A</v>
      </c>
    </row>
    <row r="147" spans="14:14" x14ac:dyDescent="0.2">
      <c r="N147" t="e">
        <f t="shared" si="4"/>
        <v>#N/A</v>
      </c>
    </row>
    <row r="148" spans="14:14" x14ac:dyDescent="0.2">
      <c r="N148" t="e">
        <f t="shared" si="4"/>
        <v>#N/A</v>
      </c>
    </row>
    <row r="149" spans="14:14" x14ac:dyDescent="0.2">
      <c r="N149" t="e">
        <f t="shared" si="4"/>
        <v>#N/A</v>
      </c>
    </row>
    <row r="150" spans="14:14" x14ac:dyDescent="0.2">
      <c r="N150" t="e">
        <f t="shared" si="4"/>
        <v>#N/A</v>
      </c>
    </row>
    <row r="151" spans="14:14" x14ac:dyDescent="0.2">
      <c r="N151" t="e">
        <f t="shared" si="4"/>
        <v>#N/A</v>
      </c>
    </row>
    <row r="152" spans="14:14" x14ac:dyDescent="0.2">
      <c r="N152" t="e">
        <f t="shared" si="4"/>
        <v>#N/A</v>
      </c>
    </row>
    <row r="153" spans="14:14" x14ac:dyDescent="0.2">
      <c r="N153" t="e">
        <f t="shared" si="4"/>
        <v>#N/A</v>
      </c>
    </row>
    <row r="154" spans="14:14" x14ac:dyDescent="0.2">
      <c r="N154" t="e">
        <f t="shared" si="4"/>
        <v>#N/A</v>
      </c>
    </row>
    <row r="155" spans="14:14" x14ac:dyDescent="0.2">
      <c r="N155" t="e">
        <f t="shared" si="4"/>
        <v>#N/A</v>
      </c>
    </row>
    <row r="156" spans="14:14" x14ac:dyDescent="0.2">
      <c r="N156" t="e">
        <f t="shared" si="4"/>
        <v>#N/A</v>
      </c>
    </row>
    <row r="157" spans="14:14" x14ac:dyDescent="0.2">
      <c r="N157" t="e">
        <f t="shared" si="4"/>
        <v>#N/A</v>
      </c>
    </row>
    <row r="158" spans="14:14" x14ac:dyDescent="0.2">
      <c r="N158" t="e">
        <f t="shared" si="4"/>
        <v>#N/A</v>
      </c>
    </row>
    <row r="159" spans="14:14" x14ac:dyDescent="0.2">
      <c r="N159" t="e">
        <f t="shared" si="4"/>
        <v>#N/A</v>
      </c>
    </row>
    <row r="160" spans="14:14" x14ac:dyDescent="0.2">
      <c r="N160" t="e">
        <f t="shared" si="4"/>
        <v>#N/A</v>
      </c>
    </row>
    <row r="161" spans="14:14" x14ac:dyDescent="0.2">
      <c r="N161" t="e">
        <f t="shared" si="4"/>
        <v>#N/A</v>
      </c>
    </row>
    <row r="162" spans="14:14" x14ac:dyDescent="0.2">
      <c r="N162" t="e">
        <f t="shared" ref="N162:N182" si="5">VLOOKUP(REPLACE(C162,1,8," "),$W$2:$X$46,2,FALSE)</f>
        <v>#N/A</v>
      </c>
    </row>
    <row r="163" spans="14:14" x14ac:dyDescent="0.2">
      <c r="N163" t="e">
        <f t="shared" si="5"/>
        <v>#N/A</v>
      </c>
    </row>
    <row r="164" spans="14:14" x14ac:dyDescent="0.2">
      <c r="N164" t="e">
        <f t="shared" si="5"/>
        <v>#N/A</v>
      </c>
    </row>
    <row r="165" spans="14:14" x14ac:dyDescent="0.2">
      <c r="N165" t="e">
        <f t="shared" si="5"/>
        <v>#N/A</v>
      </c>
    </row>
    <row r="166" spans="14:14" x14ac:dyDescent="0.2">
      <c r="N166" t="e">
        <f t="shared" si="5"/>
        <v>#N/A</v>
      </c>
    </row>
    <row r="167" spans="14:14" x14ac:dyDescent="0.2">
      <c r="N167" t="e">
        <f t="shared" si="5"/>
        <v>#N/A</v>
      </c>
    </row>
    <row r="168" spans="14:14" x14ac:dyDescent="0.2">
      <c r="N168" t="e">
        <f t="shared" si="5"/>
        <v>#N/A</v>
      </c>
    </row>
    <row r="169" spans="14:14" x14ac:dyDescent="0.2">
      <c r="N169" t="e">
        <f t="shared" si="5"/>
        <v>#N/A</v>
      </c>
    </row>
    <row r="170" spans="14:14" x14ac:dyDescent="0.2">
      <c r="N170" t="e">
        <f t="shared" si="5"/>
        <v>#N/A</v>
      </c>
    </row>
    <row r="171" spans="14:14" x14ac:dyDescent="0.2">
      <c r="N171" t="e">
        <f t="shared" si="5"/>
        <v>#N/A</v>
      </c>
    </row>
    <row r="172" spans="14:14" x14ac:dyDescent="0.2">
      <c r="N172" t="e">
        <f t="shared" si="5"/>
        <v>#N/A</v>
      </c>
    </row>
    <row r="173" spans="14:14" x14ac:dyDescent="0.2">
      <c r="N173" t="e">
        <f t="shared" si="5"/>
        <v>#N/A</v>
      </c>
    </row>
    <row r="174" spans="14:14" x14ac:dyDescent="0.2">
      <c r="N174" t="e">
        <f t="shared" si="5"/>
        <v>#N/A</v>
      </c>
    </row>
    <row r="175" spans="14:14" x14ac:dyDescent="0.2">
      <c r="N175" t="e">
        <f t="shared" si="5"/>
        <v>#N/A</v>
      </c>
    </row>
    <row r="176" spans="14:14" x14ac:dyDescent="0.2">
      <c r="N176" t="e">
        <f t="shared" si="5"/>
        <v>#N/A</v>
      </c>
    </row>
    <row r="177" spans="14:14" x14ac:dyDescent="0.2">
      <c r="N177" t="e">
        <f t="shared" si="5"/>
        <v>#N/A</v>
      </c>
    </row>
    <row r="178" spans="14:14" x14ac:dyDescent="0.2">
      <c r="N178" t="e">
        <f t="shared" si="5"/>
        <v>#N/A</v>
      </c>
    </row>
    <row r="179" spans="14:14" x14ac:dyDescent="0.2">
      <c r="N179" t="e">
        <f t="shared" si="5"/>
        <v>#N/A</v>
      </c>
    </row>
    <row r="180" spans="14:14" x14ac:dyDescent="0.2">
      <c r="N180" t="e">
        <f t="shared" si="5"/>
        <v>#N/A</v>
      </c>
    </row>
    <row r="181" spans="14:14" x14ac:dyDescent="0.2">
      <c r="N181" t="e">
        <f t="shared" si="5"/>
        <v>#N/A</v>
      </c>
    </row>
    <row r="182" spans="14:14" x14ac:dyDescent="0.2">
      <c r="N182" t="e">
        <f t="shared" si="5"/>
        <v>#N/A</v>
      </c>
    </row>
  </sheetData>
  <sortState ref="W2:X46">
    <sortCondition ref="W2:W46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דוח</vt:lpstr>
      <vt:lpstr>שקלול הציון</vt:lpstr>
      <vt:lpstr>ליקויים מהמערכת</vt:lpstr>
      <vt:lpstr>דוח!WPrint_Area_W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אורח</dc:creator>
  <cp:lastModifiedBy>Nadav</cp:lastModifiedBy>
  <cp:lastPrinted>2018-08-01T08:23:10Z</cp:lastPrinted>
  <dcterms:created xsi:type="dcterms:W3CDTF">2018-07-29T15:33:45Z</dcterms:created>
  <dcterms:modified xsi:type="dcterms:W3CDTF">2018-11-08T09:52:39Z</dcterms:modified>
</cp:coreProperties>
</file>